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Default Extension="emf" ContentType="image/x-em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812"/>
  <workbookPr showInkAnnotation="0" codeName="ThisWorkbook" autoCompressPictures="0"/>
  <workbookProtection workbookPassword="C7E2" lockStructure="1"/>
  <bookViews>
    <workbookView xWindow="4340" yWindow="920" windowWidth="40360" windowHeight="24560" tabRatio="686" activeTab="2"/>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AboveScaleCalc!$N$36</definedName>
    <definedName name="Annual_Salary" localSheetId="1">OffScaleCalc!$N$36</definedName>
    <definedName name="Annual_Salary">OnScaleCalc!$N$36</definedName>
    <definedName name="Annual_Salary_above">#REF!</definedName>
    <definedName name="Annual_Salary_Off">OffScaleCalc!$N$33</definedName>
    <definedName name="Assistant" localSheetId="2">AboveScaleCalc!$E$33</definedName>
    <definedName name="Assistant">OnScaleCalc!$E$33</definedName>
    <definedName name="Assistant_Off">OffScaleCalc!$E$33</definedName>
    <definedName name="Assoc_Base" localSheetId="2">AboveScaleCalc!$J$34</definedName>
    <definedName name="Assoc_Base">OnScaleCalc!$J$34</definedName>
    <definedName name="Assoc_base_Off">OffScaleCalc!$J$34</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AboveScaleCalc!$E$34</definedName>
    <definedName name="Associate">OnScaleCalc!$E$34</definedName>
    <definedName name="Associate_Off">OffScaleCalc!$E$34</definedName>
    <definedName name="AssocSteps">PayScale!$B$46:$B$50</definedName>
    <definedName name="AssocSteps_Off">Payscale_Off!$B$45:$B$49</definedName>
    <definedName name="Asst_Base" localSheetId="2">AboveScaleCalc!$J$33</definedName>
    <definedName name="Asst_Base">OnScaleCalc!$J$33</definedName>
    <definedName name="Asst_base_Off">OffScaleCalc!$J$33</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AboveScaleCalc!$N$9</definedName>
    <definedName name="f" localSheetId="1">OffScaleCalc!$N$9</definedName>
    <definedName name="f">OnScaleCalc!$N$9</definedName>
    <definedName name="Fed_Limit" localSheetId="2">AboveScaleCalc!$N$7</definedName>
    <definedName name="Fed_Limit" localSheetId="1">OffScaleCalc!$N$7</definedName>
    <definedName name="Fed_Limit">OnScaleCalc!$N$7</definedName>
    <definedName name="Fed_Limit_Above">#REF!</definedName>
    <definedName name="Fed_Limit_Off">#REF!</definedName>
    <definedName name="Five" localSheetId="2">AboveScaleCalc!$N$9</definedName>
    <definedName name="Five" localSheetId="1">OffScaleCalc!$N$9</definedName>
    <definedName name="Five">OnScaleCalc!$N$9</definedName>
    <definedName name="Four" localSheetId="2">AboveScaleCalc!$N$8</definedName>
    <definedName name="Four" localSheetId="1">OffScaleCalc!$N$8</definedName>
    <definedName name="Four">OnScaleCalc!$N$8</definedName>
    <definedName name="FY2003_NIH_Salary_Cap_1_1_04_Forward">OffScaleCalc!$L$21</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AboveScaleCalc!$J$32</definedName>
    <definedName name="Instr_base">OnScaleCalc!$J$32</definedName>
    <definedName name="Instr_base_Off">OffScaleCalc!$J$32</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AboveScaleCalc!$E$32</definedName>
    <definedName name="Instructor">OnScaleCalc!$E$32</definedName>
    <definedName name="Instructor_Off">OffScaleCalc!$E$32</definedName>
    <definedName name="Match">#REF!</definedName>
    <definedName name="matchrange">#REF!</definedName>
    <definedName name="New_Fed_Limit" localSheetId="2">AboveScaleCalc!$N$7</definedName>
    <definedName name="New_Fed_Limit" localSheetId="1">OffScaleCalc!$N$7</definedName>
    <definedName name="New_Fed_Limit">OnScaleCalc!$N$7</definedName>
    <definedName name="New_Fed_Limit_Above">#REF!</definedName>
    <definedName name="New_Fed_Limit_Off">#REF!</definedName>
    <definedName name="Old_Fed_Limit" localSheetId="2">AboveScaleCalc!$N$5</definedName>
    <definedName name="Old_Fed_Limit" localSheetId="1">OffScaleCalc!$N$5</definedName>
    <definedName name="Old_Fed_Limit">OnScaleCalc!$N$5</definedName>
    <definedName name="Old_Fed_Limit_Above">#REF!</definedName>
    <definedName name="Old_Fed_Limit_Off">#REF!</definedName>
    <definedName name="OverCAP" localSheetId="2">AboveScaleCalc!$N$21</definedName>
    <definedName name="OverCAP" localSheetId="1">OffScaleCalc!$N$21</definedName>
    <definedName name="OverCAP">OnScaleCalc!$N$21</definedName>
    <definedName name="OverCAP_above">#REF!</definedName>
    <definedName name="OverCAP_Off">#REF!</definedName>
    <definedName name="_xlnm.Print_Area" localSheetId="2">AboveScaleCalc!$A$1:$T$68</definedName>
    <definedName name="_xlnm.Print_Area" localSheetId="1">OffScaleCalc!$A$1:$T$68</definedName>
    <definedName name="_xlnm.Print_Area" localSheetId="0">OnScaleCalc!$A$1:$T$68</definedName>
    <definedName name="_xlnm.Print_Area" localSheetId="7">Payscale_Off!$A$2:$AA$24</definedName>
    <definedName name="Print_Area_Off">#REF!</definedName>
    <definedName name="_xlnm.Print_Titles" localSheetId="7">Payscale_Off!$A:$A</definedName>
    <definedName name="Prof">OnScaleCalc!$E$35</definedName>
    <definedName name="Prof_Above">AboveScaleCalc!$E$35</definedName>
    <definedName name="Prof_Base">OnScaleCalc!$J$35</definedName>
    <definedName name="Prof_Base_Above">AboveScaleCalc!$J$35</definedName>
    <definedName name="Prof_base_Off">OffScaleCalc!$J$35</definedName>
    <definedName name="Prof_curr_scale">PayScale!$B$68</definedName>
    <definedName name="Prof_curr_scale_Off">Payscale_Off!$B$67</definedName>
    <definedName name="Prof_curr_step">PayScale!$B$67</definedName>
    <definedName name="Prof_curr_step_Off">Payscale_Off!$B$66</definedName>
    <definedName name="Prof_Off">OffScaleCalc!$E$35</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OffScaleCalc!$J$32</definedName>
    <definedName name="SalaryLimits" localSheetId="2">AboveScaleCalc!$M$7:$N$19</definedName>
    <definedName name="SalaryLimits" localSheetId="1">OffScaleCalc!$M$7:$N$19</definedName>
    <definedName name="SalaryLimits">OnScaleCalc!$M$7:$N$19</definedName>
    <definedName name="Scale">OnScaleCalc!$E$31</definedName>
    <definedName name="Scale_Above">AboveScaleCalc!$E$31</definedName>
    <definedName name="Scale_Off">OffScaleCalc!$E$31</definedName>
    <definedName name="Three" localSheetId="2">AboveScaleCalc!$N$7</definedName>
    <definedName name="Three" localSheetId="1">OffScaleCalc!$N$7</definedName>
    <definedName name="Three">OnScaleCalc!$N$7</definedName>
    <definedName name="Two" localSheetId="2">AboveScaleCalc!$N$6</definedName>
    <definedName name="Two" localSheetId="1">OffScaleCalc!$N$6</definedName>
    <definedName name="Two">OnScaleCalc!$N$6</definedName>
    <definedName name="XFactorSearch">#REF!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J35" i="19" l="1"/>
  <c r="K35" i="19"/>
  <c r="L35" i="19"/>
  <c r="M35" i="19"/>
  <c r="N35" i="19"/>
  <c r="E26" i="19"/>
  <c r="J36" i="19"/>
  <c r="H25" i="19"/>
  <c r="N32" i="19"/>
  <c r="B32" i="2"/>
  <c r="D31" i="2"/>
  <c r="E31" i="2"/>
  <c r="F31" i="2"/>
  <c r="G31" i="2"/>
  <c r="H31" i="2"/>
  <c r="I31" i="2"/>
  <c r="J31" i="2"/>
  <c r="K31" i="2"/>
  <c r="L31" i="2"/>
  <c r="M31" i="2"/>
  <c r="N31" i="2"/>
  <c r="O31" i="2"/>
  <c r="P31" i="2"/>
  <c r="Q31" i="2"/>
  <c r="R31" i="2"/>
  <c r="M32" i="19"/>
  <c r="N33" i="19"/>
  <c r="B42" i="2"/>
  <c r="D40" i="2"/>
  <c r="E40" i="2"/>
  <c r="F40" i="2"/>
  <c r="G40" i="2"/>
  <c r="H40" i="2"/>
  <c r="I40" i="2"/>
  <c r="J40" i="2"/>
  <c r="K40" i="2"/>
  <c r="L40" i="2"/>
  <c r="M40" i="2"/>
  <c r="N40" i="2"/>
  <c r="O40" i="2"/>
  <c r="P40" i="2"/>
  <c r="Q40" i="2"/>
  <c r="R40" i="2"/>
  <c r="M33" i="19"/>
  <c r="N34" i="19"/>
  <c r="B53" i="2"/>
  <c r="D51" i="2"/>
  <c r="E51" i="2"/>
  <c r="F51" i="2"/>
  <c r="G51" i="2"/>
  <c r="H51" i="2"/>
  <c r="I51" i="2"/>
  <c r="J51" i="2"/>
  <c r="K51" i="2"/>
  <c r="L51" i="2"/>
  <c r="M51" i="2"/>
  <c r="N51" i="2"/>
  <c r="O51" i="2"/>
  <c r="P51" i="2"/>
  <c r="Q51" i="2"/>
  <c r="R51" i="2"/>
  <c r="M34" i="19"/>
  <c r="M36" i="19"/>
  <c r="K32" i="19"/>
  <c r="K33" i="19"/>
  <c r="K34" i="19"/>
  <c r="K36" i="19"/>
  <c r="L32" i="19"/>
  <c r="L33" i="19"/>
  <c r="L34" i="19"/>
  <c r="L36" i="19"/>
  <c r="N36" i="19"/>
  <c r="J32" i="19"/>
  <c r="J33" i="19"/>
  <c r="J34" i="19"/>
  <c r="J38" i="19"/>
  <c r="J78" i="19"/>
  <c r="N38" i="19"/>
  <c r="K38" i="19"/>
  <c r="K78" i="19"/>
  <c r="L38" i="19"/>
  <c r="L78" i="19"/>
  <c r="M38" i="19"/>
  <c r="M78" i="19"/>
  <c r="E83" i="2"/>
  <c r="D83" i="2"/>
  <c r="C83" i="2"/>
  <c r="E82" i="2"/>
  <c r="D82" i="2"/>
  <c r="C82" i="2"/>
  <c r="E81" i="2"/>
  <c r="D81" i="2"/>
  <c r="C81" i="2"/>
  <c r="E80" i="2"/>
  <c r="D80" i="2"/>
  <c r="C80" i="2"/>
  <c r="E79" i="2"/>
  <c r="D79" i="2"/>
  <c r="C79" i="2"/>
  <c r="E78" i="2"/>
  <c r="D78" i="2"/>
  <c r="C78" i="2"/>
  <c r="D77" i="2"/>
  <c r="C77" i="2"/>
  <c r="D76" i="2"/>
  <c r="C76" i="2"/>
  <c r="D75" i="2"/>
  <c r="C75" i="2"/>
  <c r="C74" i="2"/>
  <c r="AA25" i="2"/>
  <c r="Y25" i="2"/>
  <c r="X25" i="2"/>
  <c r="V25" i="2"/>
  <c r="U25" i="2"/>
  <c r="S25" i="2"/>
  <c r="R25" i="2"/>
  <c r="O25" i="2"/>
  <c r="L25" i="2"/>
  <c r="I25" i="2"/>
  <c r="T25" i="2"/>
  <c r="G25" i="2"/>
  <c r="E25" i="2"/>
  <c r="Q25" i="2"/>
  <c r="Z25" i="2"/>
  <c r="N25" i="2"/>
  <c r="W25" i="2"/>
  <c r="K25" i="2"/>
  <c r="AA5" i="2"/>
  <c r="AA6" i="2"/>
  <c r="AA7" i="2"/>
  <c r="R36" i="2"/>
  <c r="AA8" i="2"/>
  <c r="AA9" i="2"/>
  <c r="AA10" i="2"/>
  <c r="AA11" i="2"/>
  <c r="R46" i="2"/>
  <c r="AA12" i="2"/>
  <c r="AA13" i="2"/>
  <c r="AA14" i="2"/>
  <c r="AA15" i="2"/>
  <c r="R50" i="2"/>
  <c r="AA16" i="2"/>
  <c r="AA17" i="2"/>
  <c r="R58" i="2"/>
  <c r="AA18" i="2"/>
  <c r="AA19" i="2"/>
  <c r="R60" i="2"/>
  <c r="AA20" i="2"/>
  <c r="AA21" i="2"/>
  <c r="AA22" i="2"/>
  <c r="AA23" i="2"/>
  <c r="R64" i="2"/>
  <c r="AA24" i="2"/>
  <c r="AA4" i="2"/>
  <c r="X5" i="2"/>
  <c r="X6" i="2"/>
  <c r="Q35" i="2"/>
  <c r="X7" i="2"/>
  <c r="X8" i="2"/>
  <c r="X9" i="2"/>
  <c r="X10" i="2"/>
  <c r="Q39" i="2"/>
  <c r="X11" i="2"/>
  <c r="X12" i="2"/>
  <c r="X13" i="2"/>
  <c r="X14" i="2"/>
  <c r="Q49" i="2"/>
  <c r="X15" i="2"/>
  <c r="X16" i="2"/>
  <c r="X17" i="2"/>
  <c r="X18" i="2"/>
  <c r="Q59" i="2"/>
  <c r="X19" i="2"/>
  <c r="X20" i="2"/>
  <c r="X21" i="2"/>
  <c r="X22" i="2"/>
  <c r="Q63" i="2"/>
  <c r="X23" i="2"/>
  <c r="X24" i="2"/>
  <c r="X4" i="2"/>
  <c r="U5" i="2"/>
  <c r="P34" i="2"/>
  <c r="U6" i="2"/>
  <c r="U7" i="2"/>
  <c r="U8" i="2"/>
  <c r="U9" i="2"/>
  <c r="P38" i="2"/>
  <c r="U10" i="2"/>
  <c r="U11" i="2"/>
  <c r="U12" i="2"/>
  <c r="U13" i="2"/>
  <c r="P48" i="2"/>
  <c r="U14" i="2"/>
  <c r="U15" i="2"/>
  <c r="U16" i="2"/>
  <c r="U17" i="2"/>
  <c r="P58" i="2"/>
  <c r="U18" i="2"/>
  <c r="U19" i="2"/>
  <c r="U20" i="2"/>
  <c r="U21" i="2"/>
  <c r="P62" i="2"/>
  <c r="U22" i="2"/>
  <c r="U23" i="2"/>
  <c r="U24" i="2"/>
  <c r="U4" i="2"/>
  <c r="P30" i="2"/>
  <c r="R5" i="2"/>
  <c r="R6" i="2"/>
  <c r="R7" i="2"/>
  <c r="R8" i="2"/>
  <c r="O37" i="2"/>
  <c r="R9" i="2"/>
  <c r="R10" i="2"/>
  <c r="R11" i="2"/>
  <c r="R12" i="2"/>
  <c r="O47" i="2"/>
  <c r="R13" i="2"/>
  <c r="R14" i="2"/>
  <c r="R15" i="2"/>
  <c r="R16" i="2"/>
  <c r="O57" i="2"/>
  <c r="R17" i="2"/>
  <c r="R18" i="2"/>
  <c r="R19" i="2"/>
  <c r="R20" i="2"/>
  <c r="O61" i="2"/>
  <c r="R21" i="2"/>
  <c r="R22" i="2"/>
  <c r="R23" i="2"/>
  <c r="R24" i="2"/>
  <c r="O65" i="2"/>
  <c r="R4" i="2"/>
  <c r="O5" i="2"/>
  <c r="O6" i="2"/>
  <c r="O7" i="2"/>
  <c r="N36" i="2"/>
  <c r="O8" i="2"/>
  <c r="O9" i="2"/>
  <c r="O10" i="2"/>
  <c r="O11" i="2"/>
  <c r="N46" i="2"/>
  <c r="O12" i="2"/>
  <c r="O13" i="2"/>
  <c r="O14" i="2"/>
  <c r="O15" i="2"/>
  <c r="N50" i="2"/>
  <c r="O16" i="2"/>
  <c r="O17" i="2"/>
  <c r="O18" i="2"/>
  <c r="O19" i="2"/>
  <c r="N60" i="2"/>
  <c r="O20" i="2"/>
  <c r="O21" i="2"/>
  <c r="O22" i="2"/>
  <c r="O23" i="2"/>
  <c r="N64" i="2"/>
  <c r="O24" i="2"/>
  <c r="O4" i="2"/>
  <c r="L5" i="2"/>
  <c r="L6" i="2"/>
  <c r="M35" i="2"/>
  <c r="L7" i="2"/>
  <c r="L8" i="2"/>
  <c r="L9" i="2"/>
  <c r="L10" i="2"/>
  <c r="M39" i="2"/>
  <c r="L11" i="2"/>
  <c r="L12" i="2"/>
  <c r="L13" i="2"/>
  <c r="L14" i="2"/>
  <c r="M49" i="2"/>
  <c r="L15" i="2"/>
  <c r="L16" i="2"/>
  <c r="L17" i="2"/>
  <c r="L18" i="2"/>
  <c r="M59" i="2"/>
  <c r="L19" i="2"/>
  <c r="L20" i="2"/>
  <c r="L21" i="2"/>
  <c r="L22" i="2"/>
  <c r="M63" i="2"/>
  <c r="L23" i="2"/>
  <c r="L24" i="2"/>
  <c r="L4" i="2"/>
  <c r="G5" i="2"/>
  <c r="E34" i="2"/>
  <c r="G6" i="2"/>
  <c r="G7" i="2"/>
  <c r="G8" i="2"/>
  <c r="G9" i="2"/>
  <c r="E38" i="2"/>
  <c r="G10" i="2"/>
  <c r="G11" i="2"/>
  <c r="G12" i="2"/>
  <c r="G13" i="2"/>
  <c r="E48" i="2"/>
  <c r="G14" i="2"/>
  <c r="G15" i="2"/>
  <c r="G16" i="2"/>
  <c r="G17" i="2"/>
  <c r="E58" i="2"/>
  <c r="G18" i="2"/>
  <c r="G19" i="2"/>
  <c r="G20" i="2"/>
  <c r="G21" i="2"/>
  <c r="E62" i="2"/>
  <c r="G22" i="2"/>
  <c r="G23" i="2"/>
  <c r="G24" i="2"/>
  <c r="G4" i="2"/>
  <c r="E30" i="2"/>
  <c r="E5" i="2"/>
  <c r="E6" i="2"/>
  <c r="E7" i="2"/>
  <c r="E8" i="2"/>
  <c r="D37" i="2"/>
  <c r="E9" i="2"/>
  <c r="E10" i="2"/>
  <c r="E11" i="2"/>
  <c r="E12" i="2"/>
  <c r="D47" i="2"/>
  <c r="E13" i="2"/>
  <c r="E14" i="2"/>
  <c r="E15" i="2"/>
  <c r="E16" i="2"/>
  <c r="D57" i="2"/>
  <c r="E17" i="2"/>
  <c r="E18" i="2"/>
  <c r="E19" i="2"/>
  <c r="E20" i="2"/>
  <c r="D61" i="2"/>
  <c r="E21" i="2"/>
  <c r="E22" i="2"/>
  <c r="E23" i="2"/>
  <c r="E24" i="2"/>
  <c r="D65" i="2"/>
  <c r="E4" i="2"/>
  <c r="Z7" i="2"/>
  <c r="L36" i="2"/>
  <c r="Z9" i="2"/>
  <c r="Z15" i="2"/>
  <c r="L50" i="2"/>
  <c r="Z17" i="2"/>
  <c r="Z23" i="2"/>
  <c r="L64" i="2"/>
  <c r="Z4" i="2"/>
  <c r="W6" i="2"/>
  <c r="W8" i="2"/>
  <c r="W10" i="2"/>
  <c r="K39" i="2"/>
  <c r="W12" i="2"/>
  <c r="K47" i="2"/>
  <c r="W14" i="2"/>
  <c r="W16" i="2"/>
  <c r="W18" i="2"/>
  <c r="K59" i="2"/>
  <c r="W20" i="2"/>
  <c r="K61" i="2"/>
  <c r="W22" i="2"/>
  <c r="W24" i="2"/>
  <c r="K65" i="2"/>
  <c r="T5" i="2"/>
  <c r="J34" i="2"/>
  <c r="T13" i="2"/>
  <c r="J48" i="2"/>
  <c r="T21" i="2"/>
  <c r="J62" i="2"/>
  <c r="Q6" i="2"/>
  <c r="Q8" i="2"/>
  <c r="I37" i="2"/>
  <c r="Q10" i="2"/>
  <c r="Q12" i="2"/>
  <c r="Q14" i="2"/>
  <c r="Q16" i="2"/>
  <c r="Q18" i="2"/>
  <c r="I59" i="2"/>
  <c r="Q20" i="2"/>
  <c r="Q22" i="2"/>
  <c r="Q24" i="2"/>
  <c r="I65" i="2"/>
  <c r="N5" i="2"/>
  <c r="H34" i="2"/>
  <c r="N9" i="2"/>
  <c r="N13" i="2"/>
  <c r="N21" i="2"/>
  <c r="K6" i="2"/>
  <c r="K8" i="2"/>
  <c r="G37" i="2"/>
  <c r="K10" i="2"/>
  <c r="K12" i="2"/>
  <c r="K14" i="2"/>
  <c r="K16" i="2"/>
  <c r="K18" i="2"/>
  <c r="K20" i="2"/>
  <c r="K22" i="2"/>
  <c r="G63" i="2"/>
  <c r="K24" i="2"/>
  <c r="I5" i="2"/>
  <c r="Z5" i="2"/>
  <c r="L34" i="2"/>
  <c r="I6" i="2"/>
  <c r="T6" i="2"/>
  <c r="I7" i="2"/>
  <c r="I8" i="2"/>
  <c r="Z8" i="2"/>
  <c r="I9" i="2"/>
  <c r="I10" i="2"/>
  <c r="T10" i="2"/>
  <c r="I11" i="2"/>
  <c r="I12" i="2"/>
  <c r="Z12" i="2"/>
  <c r="L47" i="2"/>
  <c r="I13" i="2"/>
  <c r="Z13" i="2"/>
  <c r="L48" i="2"/>
  <c r="I14" i="2"/>
  <c r="T14" i="2"/>
  <c r="I15" i="2"/>
  <c r="I16" i="2"/>
  <c r="Z16" i="2"/>
  <c r="I17" i="2"/>
  <c r="N17" i="2"/>
  <c r="H58" i="2"/>
  <c r="I18" i="2"/>
  <c r="T18" i="2"/>
  <c r="I19" i="2"/>
  <c r="N19" i="2"/>
  <c r="H60" i="2"/>
  <c r="I20" i="2"/>
  <c r="Z20" i="2"/>
  <c r="L61" i="2"/>
  <c r="I21" i="2"/>
  <c r="Z21" i="2"/>
  <c r="L62" i="2"/>
  <c r="I22" i="2"/>
  <c r="T22" i="2"/>
  <c r="I23" i="2"/>
  <c r="I24" i="2"/>
  <c r="Z24" i="2"/>
  <c r="L65" i="2"/>
  <c r="I4" i="2"/>
  <c r="N4" i="2"/>
  <c r="I43" i="1"/>
  <c r="H43" i="1"/>
  <c r="P19" i="19"/>
  <c r="P19" i="18"/>
  <c r="P19" i="1"/>
  <c r="P18" i="19"/>
  <c r="P18" i="18"/>
  <c r="P18" i="1"/>
  <c r="AA24" i="4"/>
  <c r="R64" i="4"/>
  <c r="I24" i="4"/>
  <c r="K24" i="4"/>
  <c r="N24" i="4"/>
  <c r="Q24" i="4"/>
  <c r="X24" i="4"/>
  <c r="U24" i="4"/>
  <c r="R24" i="4"/>
  <c r="O64" i="4"/>
  <c r="O24" i="4"/>
  <c r="L24" i="4"/>
  <c r="G24" i="4"/>
  <c r="E24" i="4"/>
  <c r="D64" i="4"/>
  <c r="AA23" i="4"/>
  <c r="I23" i="4"/>
  <c r="K23" i="4"/>
  <c r="N23" i="4"/>
  <c r="X23" i="4"/>
  <c r="U23" i="4"/>
  <c r="R23" i="4"/>
  <c r="O23" i="4"/>
  <c r="N63" i="4"/>
  <c r="L23" i="4"/>
  <c r="G23" i="4"/>
  <c r="E23" i="4"/>
  <c r="AA22" i="4"/>
  <c r="R62" i="4"/>
  <c r="I22" i="4"/>
  <c r="K22" i="4"/>
  <c r="N22" i="4"/>
  <c r="Q22" i="4"/>
  <c r="T22" i="4"/>
  <c r="W22" i="4"/>
  <c r="X22" i="4"/>
  <c r="U22" i="4"/>
  <c r="R22" i="4"/>
  <c r="O62" i="4"/>
  <c r="O22" i="4"/>
  <c r="L22" i="4"/>
  <c r="G22" i="4"/>
  <c r="E22" i="4"/>
  <c r="AA21" i="4"/>
  <c r="I21" i="4"/>
  <c r="K21" i="4"/>
  <c r="N21" i="4"/>
  <c r="Q21" i="4"/>
  <c r="T21" i="4"/>
  <c r="X21" i="4"/>
  <c r="U21" i="4"/>
  <c r="R21" i="4"/>
  <c r="O21" i="4"/>
  <c r="N61" i="4"/>
  <c r="L21" i="4"/>
  <c r="G21" i="4"/>
  <c r="E21" i="4"/>
  <c r="AA20" i="4"/>
  <c r="I20" i="4"/>
  <c r="K20" i="4"/>
  <c r="N20" i="4"/>
  <c r="Q20" i="4"/>
  <c r="X20" i="4"/>
  <c r="U20" i="4"/>
  <c r="R20" i="4"/>
  <c r="O60" i="4"/>
  <c r="O20" i="4"/>
  <c r="L20" i="4"/>
  <c r="G20" i="4"/>
  <c r="E20" i="4"/>
  <c r="D60" i="4"/>
  <c r="AA19" i="4"/>
  <c r="I19" i="4"/>
  <c r="K19" i="4"/>
  <c r="N19" i="4"/>
  <c r="X19" i="4"/>
  <c r="U19" i="4"/>
  <c r="R19" i="4"/>
  <c r="O19" i="4"/>
  <c r="N59" i="4"/>
  <c r="L19" i="4"/>
  <c r="G19" i="4"/>
  <c r="E19" i="4"/>
  <c r="AA18" i="4"/>
  <c r="R58" i="4"/>
  <c r="I18" i="4"/>
  <c r="K18" i="4"/>
  <c r="N18" i="4"/>
  <c r="Q18" i="4"/>
  <c r="T18" i="4"/>
  <c r="W18" i="4"/>
  <c r="X18" i="4"/>
  <c r="U18" i="4"/>
  <c r="R18" i="4"/>
  <c r="O58" i="4"/>
  <c r="O18" i="4"/>
  <c r="L18" i="4"/>
  <c r="G18" i="4"/>
  <c r="E18" i="4"/>
  <c r="AA17" i="4"/>
  <c r="I17" i="4"/>
  <c r="K17" i="4"/>
  <c r="N17" i="4"/>
  <c r="Q17" i="4"/>
  <c r="T17" i="4"/>
  <c r="X17" i="4"/>
  <c r="U17" i="4"/>
  <c r="R17" i="4"/>
  <c r="O17" i="4"/>
  <c r="N57" i="4"/>
  <c r="L17" i="4"/>
  <c r="G17" i="4"/>
  <c r="E17" i="4"/>
  <c r="AA16" i="4"/>
  <c r="I16" i="4"/>
  <c r="K16" i="4"/>
  <c r="N16" i="4"/>
  <c r="Q16" i="4"/>
  <c r="X16" i="4"/>
  <c r="U16" i="4"/>
  <c r="R16" i="4"/>
  <c r="O56" i="4"/>
  <c r="O16" i="4"/>
  <c r="L16" i="4"/>
  <c r="G16" i="4"/>
  <c r="E16" i="4"/>
  <c r="D56" i="4"/>
  <c r="AA15" i="4"/>
  <c r="I15" i="4"/>
  <c r="K15" i="4"/>
  <c r="N15" i="4"/>
  <c r="X15" i="4"/>
  <c r="U15" i="4"/>
  <c r="R15" i="4"/>
  <c r="O15" i="4"/>
  <c r="L15" i="4"/>
  <c r="G15" i="4"/>
  <c r="E15" i="4"/>
  <c r="AA14" i="4"/>
  <c r="R48" i="4"/>
  <c r="I14" i="4"/>
  <c r="K14" i="4"/>
  <c r="N14" i="4"/>
  <c r="Q14" i="4"/>
  <c r="T14" i="4"/>
  <c r="W14" i="4"/>
  <c r="X14" i="4"/>
  <c r="U14" i="4"/>
  <c r="R14" i="4"/>
  <c r="O48" i="4"/>
  <c r="O14" i="4"/>
  <c r="L14" i="4"/>
  <c r="G14" i="4"/>
  <c r="E14" i="4"/>
  <c r="AA13" i="4"/>
  <c r="I13" i="4"/>
  <c r="K13" i="4"/>
  <c r="N13" i="4"/>
  <c r="Q13" i="4"/>
  <c r="T13" i="4"/>
  <c r="X13" i="4"/>
  <c r="U13" i="4"/>
  <c r="R13" i="4"/>
  <c r="O13" i="4"/>
  <c r="N47" i="4"/>
  <c r="L13" i="4"/>
  <c r="G13" i="4"/>
  <c r="E13" i="4"/>
  <c r="AA12" i="4"/>
  <c r="I12" i="4"/>
  <c r="K12" i="4"/>
  <c r="N12" i="4"/>
  <c r="Q12" i="4"/>
  <c r="X12" i="4"/>
  <c r="U12" i="4"/>
  <c r="R12" i="4"/>
  <c r="O46" i="4"/>
  <c r="O12" i="4"/>
  <c r="L12" i="4"/>
  <c r="G12" i="4"/>
  <c r="E12" i="4"/>
  <c r="D46" i="4"/>
  <c r="AA11" i="4"/>
  <c r="I11" i="4"/>
  <c r="K11" i="4"/>
  <c r="N11" i="4"/>
  <c r="X11" i="4"/>
  <c r="U11" i="4"/>
  <c r="R11" i="4"/>
  <c r="O11" i="4"/>
  <c r="N45" i="4"/>
  <c r="L11" i="4"/>
  <c r="G11" i="4"/>
  <c r="E11" i="4"/>
  <c r="AA10" i="4"/>
  <c r="I10" i="4"/>
  <c r="K10" i="4"/>
  <c r="N10" i="4"/>
  <c r="Q10" i="4"/>
  <c r="T10" i="4"/>
  <c r="W10" i="4"/>
  <c r="X10" i="4"/>
  <c r="U10" i="4"/>
  <c r="R10" i="4"/>
  <c r="O38" i="4"/>
  <c r="O10" i="4"/>
  <c r="L10" i="4"/>
  <c r="G10" i="4"/>
  <c r="E10" i="4"/>
  <c r="AA9" i="4"/>
  <c r="I9" i="4"/>
  <c r="K9" i="4"/>
  <c r="N9" i="4"/>
  <c r="Q9" i="4"/>
  <c r="T9" i="4"/>
  <c r="W9" i="4"/>
  <c r="X9" i="4"/>
  <c r="U9" i="4"/>
  <c r="R9" i="4"/>
  <c r="O9" i="4"/>
  <c r="N37" i="4"/>
  <c r="L9" i="4"/>
  <c r="G9" i="4"/>
  <c r="E9" i="4"/>
  <c r="AA8" i="4"/>
  <c r="I8" i="4"/>
  <c r="K8" i="4"/>
  <c r="N8" i="4"/>
  <c r="Q8" i="4"/>
  <c r="X8" i="4"/>
  <c r="U8" i="4"/>
  <c r="R8" i="4"/>
  <c r="O8" i="4"/>
  <c r="L8" i="4"/>
  <c r="G8" i="4"/>
  <c r="E8" i="4"/>
  <c r="D36" i="4"/>
  <c r="AA7" i="4"/>
  <c r="I7" i="4"/>
  <c r="K7" i="4"/>
  <c r="N7" i="4"/>
  <c r="Q7" i="4"/>
  <c r="X7" i="4"/>
  <c r="U7" i="4"/>
  <c r="R7" i="4"/>
  <c r="O7" i="4"/>
  <c r="N35" i="4"/>
  <c r="L7" i="4"/>
  <c r="G7" i="4"/>
  <c r="E7" i="4"/>
  <c r="AA6" i="4"/>
  <c r="R34" i="4"/>
  <c r="I6" i="4"/>
  <c r="K6" i="4"/>
  <c r="N6" i="4"/>
  <c r="Q6" i="4"/>
  <c r="T6" i="4"/>
  <c r="W6" i="4"/>
  <c r="X6" i="4"/>
  <c r="U6" i="4"/>
  <c r="R6" i="4"/>
  <c r="O6" i="4"/>
  <c r="L6" i="4"/>
  <c r="G6" i="4"/>
  <c r="E6" i="4"/>
  <c r="AA5" i="4"/>
  <c r="I5" i="4"/>
  <c r="K5" i="4"/>
  <c r="N5" i="4"/>
  <c r="Q5" i="4"/>
  <c r="T5" i="4"/>
  <c r="X5" i="4"/>
  <c r="U5" i="4"/>
  <c r="R5" i="4"/>
  <c r="O5" i="4"/>
  <c r="L5" i="4"/>
  <c r="G5" i="4"/>
  <c r="E5" i="4"/>
  <c r="AA4" i="4"/>
  <c r="I4" i="4"/>
  <c r="K4" i="4"/>
  <c r="N4" i="4"/>
  <c r="Q4" i="4"/>
  <c r="T4" i="4"/>
  <c r="X4" i="4"/>
  <c r="U4" i="4"/>
  <c r="R4" i="4"/>
  <c r="O4" i="4"/>
  <c r="L4" i="4"/>
  <c r="G4" i="4"/>
  <c r="E4" i="4"/>
  <c r="D29" i="4"/>
  <c r="J35" i="1"/>
  <c r="J34" i="1"/>
  <c r="J32" i="1"/>
  <c r="J36" i="1"/>
  <c r="J33" i="1"/>
  <c r="P17" i="19"/>
  <c r="P17" i="18"/>
  <c r="P17" i="1"/>
  <c r="P16" i="19"/>
  <c r="P15" i="19"/>
  <c r="P16" i="18"/>
  <c r="P15" i="18"/>
  <c r="P16" i="1"/>
  <c r="P15" i="1"/>
  <c r="P14" i="1"/>
  <c r="P14" i="19"/>
  <c r="P14" i="18"/>
  <c r="P13" i="19"/>
  <c r="P12" i="19"/>
  <c r="P11" i="19"/>
  <c r="P10" i="19"/>
  <c r="P9" i="19"/>
  <c r="P8" i="19"/>
  <c r="P7" i="19"/>
  <c r="P13" i="18"/>
  <c r="P12" i="18"/>
  <c r="P11" i="18"/>
  <c r="P10" i="18"/>
  <c r="P9" i="18"/>
  <c r="P8" i="18"/>
  <c r="P7" i="18"/>
  <c r="P13" i="1"/>
  <c r="P12" i="1"/>
  <c r="P11" i="1"/>
  <c r="P10" i="1"/>
  <c r="P9" i="1"/>
  <c r="P8" i="1"/>
  <c r="P7" i="1"/>
  <c r="B52" i="2"/>
  <c r="Q80" i="19"/>
  <c r="AA30" i="19"/>
  <c r="AA31" i="19"/>
  <c r="AA33" i="19"/>
  <c r="AA34" i="19"/>
  <c r="AA35" i="19"/>
  <c r="AB30" i="19"/>
  <c r="AB33" i="19"/>
  <c r="AB34" i="19"/>
  <c r="AB31" i="19"/>
  <c r="AB35" i="19"/>
  <c r="B41" i="2"/>
  <c r="B31" i="2"/>
  <c r="D30" i="2"/>
  <c r="J36" i="18"/>
  <c r="B31" i="4"/>
  <c r="B41" i="4"/>
  <c r="H39" i="4"/>
  <c r="B52" i="4"/>
  <c r="K50" i="4"/>
  <c r="E50" i="4"/>
  <c r="B67" i="4"/>
  <c r="D65" i="4"/>
  <c r="G65" i="4"/>
  <c r="B66" i="4"/>
  <c r="H65" i="4"/>
  <c r="L65" i="4"/>
  <c r="O30" i="4"/>
  <c r="L32" i="18"/>
  <c r="L33" i="18"/>
  <c r="L36" i="18"/>
  <c r="Q50" i="4"/>
  <c r="L34" i="18"/>
  <c r="O65" i="4"/>
  <c r="Q65" i="4"/>
  <c r="L35" i="18"/>
  <c r="B40" i="4"/>
  <c r="N38" i="18"/>
  <c r="Q80" i="18"/>
  <c r="AG78" i="18"/>
  <c r="AA30" i="18"/>
  <c r="AB30" i="18"/>
  <c r="AA33" i="18"/>
  <c r="AA34" i="18"/>
  <c r="AB33" i="18"/>
  <c r="AB34" i="18"/>
  <c r="AA31" i="18"/>
  <c r="AB31" i="18"/>
  <c r="AB35" i="18"/>
  <c r="B68" i="2"/>
  <c r="R66" i="2"/>
  <c r="B67" i="2"/>
  <c r="M58" i="2"/>
  <c r="N38" i="1"/>
  <c r="Q80" i="1"/>
  <c r="AP78" i="1"/>
  <c r="AJ30" i="1"/>
  <c r="AK30" i="1"/>
  <c r="AJ33" i="1"/>
  <c r="AJ34" i="1"/>
  <c r="AK33" i="1"/>
  <c r="AK34" i="1"/>
  <c r="AJ31" i="1"/>
  <c r="AK31" i="1"/>
  <c r="L58" i="2"/>
  <c r="K63" i="2"/>
  <c r="L57" i="2"/>
  <c r="K57" i="2"/>
  <c r="N58" i="2"/>
  <c r="N59" i="2"/>
  <c r="N61" i="2"/>
  <c r="N62" i="2"/>
  <c r="N63" i="2"/>
  <c r="N65" i="2"/>
  <c r="M60" i="2"/>
  <c r="M61" i="2"/>
  <c r="M62" i="2"/>
  <c r="M64" i="2"/>
  <c r="M65" i="2"/>
  <c r="N57" i="2"/>
  <c r="M57" i="2"/>
  <c r="R59" i="2"/>
  <c r="R61" i="2"/>
  <c r="R62" i="2"/>
  <c r="R63" i="2"/>
  <c r="R65" i="2"/>
  <c r="Q58" i="2"/>
  <c r="Q60" i="2"/>
  <c r="Q61" i="2"/>
  <c r="Q62" i="2"/>
  <c r="Q64" i="2"/>
  <c r="Q65" i="2"/>
  <c r="P59" i="2"/>
  <c r="P60" i="2"/>
  <c r="P61" i="2"/>
  <c r="P63" i="2"/>
  <c r="P64" i="2"/>
  <c r="P65" i="2"/>
  <c r="O58" i="2"/>
  <c r="O59" i="2"/>
  <c r="O60" i="2"/>
  <c r="O62" i="2"/>
  <c r="O63" i="2"/>
  <c r="O64" i="2"/>
  <c r="R57" i="2"/>
  <c r="Q57" i="2"/>
  <c r="P57" i="2"/>
  <c r="K49" i="2"/>
  <c r="R47" i="2"/>
  <c r="R48" i="2"/>
  <c r="R49" i="2"/>
  <c r="Q50" i="2"/>
  <c r="Q47" i="2"/>
  <c r="Q48" i="2"/>
  <c r="Q46" i="2"/>
  <c r="N47" i="2"/>
  <c r="N48" i="2"/>
  <c r="N49" i="2"/>
  <c r="M47" i="2"/>
  <c r="M48" i="2"/>
  <c r="M50" i="2"/>
  <c r="M46" i="2"/>
  <c r="P47" i="2"/>
  <c r="P49" i="2"/>
  <c r="P50" i="2"/>
  <c r="O48" i="2"/>
  <c r="O49" i="2"/>
  <c r="O50" i="2"/>
  <c r="P46" i="2"/>
  <c r="O46" i="2"/>
  <c r="L37" i="2"/>
  <c r="L38" i="2"/>
  <c r="K35" i="2"/>
  <c r="K37" i="2"/>
  <c r="R35" i="2"/>
  <c r="R37" i="2"/>
  <c r="R38" i="2"/>
  <c r="R39" i="2"/>
  <c r="R34" i="2"/>
  <c r="Q36" i="2"/>
  <c r="Q37" i="2"/>
  <c r="Q38" i="2"/>
  <c r="Q34" i="2"/>
  <c r="N35" i="2"/>
  <c r="N37" i="2"/>
  <c r="N38" i="2"/>
  <c r="N39" i="2"/>
  <c r="N34" i="2"/>
  <c r="M36" i="2"/>
  <c r="M37" i="2"/>
  <c r="M38" i="2"/>
  <c r="M34" i="2"/>
  <c r="P39" i="2"/>
  <c r="P35" i="2"/>
  <c r="P36" i="2"/>
  <c r="P37" i="2"/>
  <c r="O35" i="2"/>
  <c r="O36" i="2"/>
  <c r="O38" i="2"/>
  <c r="O39" i="2"/>
  <c r="O34" i="2"/>
  <c r="R30" i="2"/>
  <c r="Q30" i="2"/>
  <c r="L30" i="2"/>
  <c r="N30" i="2"/>
  <c r="M30" i="2"/>
  <c r="O30" i="2"/>
  <c r="E65" i="2"/>
  <c r="F65" i="2"/>
  <c r="G65" i="2"/>
  <c r="C65" i="2"/>
  <c r="J49" i="2"/>
  <c r="J39" i="2"/>
  <c r="J35" i="2"/>
  <c r="J63" i="2"/>
  <c r="J59" i="2"/>
  <c r="I63" i="2"/>
  <c r="I61" i="2"/>
  <c r="I57" i="2"/>
  <c r="H62" i="2"/>
  <c r="G61" i="2"/>
  <c r="G59" i="2"/>
  <c r="G57" i="2"/>
  <c r="F63" i="2"/>
  <c r="F62" i="2"/>
  <c r="F61" i="2"/>
  <c r="F59" i="2"/>
  <c r="F58" i="2"/>
  <c r="F66" i="2"/>
  <c r="F57" i="2"/>
  <c r="E64" i="2"/>
  <c r="E63" i="2"/>
  <c r="E61" i="2"/>
  <c r="E60" i="2"/>
  <c r="E59" i="2"/>
  <c r="E57" i="2"/>
  <c r="D64" i="2"/>
  <c r="D63" i="2"/>
  <c r="D62" i="2"/>
  <c r="D60" i="2"/>
  <c r="D59" i="2"/>
  <c r="D58" i="2"/>
  <c r="C64" i="2"/>
  <c r="C63" i="2"/>
  <c r="C62" i="2"/>
  <c r="C61" i="2"/>
  <c r="C60" i="2"/>
  <c r="C59" i="2"/>
  <c r="C58" i="2"/>
  <c r="C57" i="2"/>
  <c r="I49" i="2"/>
  <c r="I47" i="2"/>
  <c r="H48" i="2"/>
  <c r="G49" i="2"/>
  <c r="G47" i="2"/>
  <c r="F49" i="2"/>
  <c r="F48" i="2"/>
  <c r="F47" i="2"/>
  <c r="E50" i="2"/>
  <c r="E49" i="2"/>
  <c r="E47" i="2"/>
  <c r="E46" i="2"/>
  <c r="D50" i="2"/>
  <c r="D49" i="2"/>
  <c r="D48" i="2"/>
  <c r="D46" i="2"/>
  <c r="C50" i="2"/>
  <c r="C49" i="2"/>
  <c r="C48" i="2"/>
  <c r="C47" i="2"/>
  <c r="C46" i="2"/>
  <c r="I39" i="2"/>
  <c r="I35" i="2"/>
  <c r="H38" i="2"/>
  <c r="G39" i="2"/>
  <c r="G35" i="2"/>
  <c r="F39" i="2"/>
  <c r="F38" i="2"/>
  <c r="F37" i="2"/>
  <c r="F35" i="2"/>
  <c r="F34" i="2"/>
  <c r="E39" i="2"/>
  <c r="E37" i="2"/>
  <c r="E36" i="2"/>
  <c r="E35" i="2"/>
  <c r="D39" i="2"/>
  <c r="D38" i="2"/>
  <c r="D36" i="2"/>
  <c r="D35" i="2"/>
  <c r="D34" i="2"/>
  <c r="C39" i="2"/>
  <c r="C38" i="2"/>
  <c r="C37" i="2"/>
  <c r="C36" i="2"/>
  <c r="C35" i="2"/>
  <c r="C34" i="2"/>
  <c r="H30" i="2"/>
  <c r="F30" i="2"/>
  <c r="C30" i="2"/>
  <c r="B51" i="4"/>
  <c r="Q64" i="4"/>
  <c r="P64" i="4"/>
  <c r="N64" i="4"/>
  <c r="M64" i="4"/>
  <c r="H64" i="4"/>
  <c r="G64" i="4"/>
  <c r="F64" i="4"/>
  <c r="E64" i="4"/>
  <c r="R63" i="4"/>
  <c r="Q63" i="4"/>
  <c r="P63" i="4"/>
  <c r="O63" i="4"/>
  <c r="M63" i="4"/>
  <c r="G63" i="4"/>
  <c r="F63" i="4"/>
  <c r="E63" i="4"/>
  <c r="D63" i="4"/>
  <c r="Q62" i="4"/>
  <c r="P62" i="4"/>
  <c r="N62" i="4"/>
  <c r="M62" i="4"/>
  <c r="J62" i="4"/>
  <c r="I62" i="4"/>
  <c r="H62" i="4"/>
  <c r="G62" i="4"/>
  <c r="F62" i="4"/>
  <c r="E62" i="4"/>
  <c r="D62" i="4"/>
  <c r="R61" i="4"/>
  <c r="Q61" i="4"/>
  <c r="P61" i="4"/>
  <c r="O61" i="4"/>
  <c r="M61" i="4"/>
  <c r="I61" i="4"/>
  <c r="H61" i="4"/>
  <c r="G61" i="4"/>
  <c r="F61" i="4"/>
  <c r="E61" i="4"/>
  <c r="D61" i="4"/>
  <c r="R60" i="4"/>
  <c r="Q60" i="4"/>
  <c r="P60" i="4"/>
  <c r="N60" i="4"/>
  <c r="M60" i="4"/>
  <c r="H60" i="4"/>
  <c r="G60" i="4"/>
  <c r="F60" i="4"/>
  <c r="E60" i="4"/>
  <c r="R59" i="4"/>
  <c r="Q59" i="4"/>
  <c r="P59" i="4"/>
  <c r="O59" i="4"/>
  <c r="M59" i="4"/>
  <c r="G59" i="4"/>
  <c r="F59" i="4"/>
  <c r="E59" i="4"/>
  <c r="D59" i="4"/>
  <c r="Q58" i="4"/>
  <c r="P58" i="4"/>
  <c r="N58" i="4"/>
  <c r="M58" i="4"/>
  <c r="J58" i="4"/>
  <c r="I58" i="4"/>
  <c r="H58" i="4"/>
  <c r="G58" i="4"/>
  <c r="F58" i="4"/>
  <c r="E58" i="4"/>
  <c r="D58" i="4"/>
  <c r="R57" i="4"/>
  <c r="Q57" i="4"/>
  <c r="P57" i="4"/>
  <c r="O57" i="4"/>
  <c r="M57" i="4"/>
  <c r="I57" i="4"/>
  <c r="H57" i="4"/>
  <c r="G57" i="4"/>
  <c r="F57" i="4"/>
  <c r="E57" i="4"/>
  <c r="D57" i="4"/>
  <c r="R56" i="4"/>
  <c r="Q56" i="4"/>
  <c r="P56" i="4"/>
  <c r="N56" i="4"/>
  <c r="M56" i="4"/>
  <c r="H56" i="4"/>
  <c r="G56" i="4"/>
  <c r="F56" i="4"/>
  <c r="E56" i="4"/>
  <c r="R49" i="4"/>
  <c r="Q49" i="4"/>
  <c r="P49" i="4"/>
  <c r="O49" i="4"/>
  <c r="N49" i="4"/>
  <c r="M49" i="4"/>
  <c r="G49" i="4"/>
  <c r="F49" i="4"/>
  <c r="E49" i="4"/>
  <c r="D49" i="4"/>
  <c r="Q48" i="4"/>
  <c r="P48" i="4"/>
  <c r="N48" i="4"/>
  <c r="M48" i="4"/>
  <c r="J48" i="4"/>
  <c r="I48" i="4"/>
  <c r="H48" i="4"/>
  <c r="G48" i="4"/>
  <c r="F48" i="4"/>
  <c r="E48" i="4"/>
  <c r="D48" i="4"/>
  <c r="R47" i="4"/>
  <c r="Q47" i="4"/>
  <c r="P47" i="4"/>
  <c r="O47" i="4"/>
  <c r="M47" i="4"/>
  <c r="I47" i="4"/>
  <c r="H47" i="4"/>
  <c r="G47" i="4"/>
  <c r="F47" i="4"/>
  <c r="E47" i="4"/>
  <c r="D47" i="4"/>
  <c r="R46" i="4"/>
  <c r="Q46" i="4"/>
  <c r="P46" i="4"/>
  <c r="N46" i="4"/>
  <c r="M46" i="4"/>
  <c r="H46" i="4"/>
  <c r="G46" i="4"/>
  <c r="F46" i="4"/>
  <c r="E46" i="4"/>
  <c r="R45" i="4"/>
  <c r="Q45" i="4"/>
  <c r="P45" i="4"/>
  <c r="O45" i="4"/>
  <c r="M45" i="4"/>
  <c r="G45" i="4"/>
  <c r="F45" i="4"/>
  <c r="E45" i="4"/>
  <c r="D45" i="4"/>
  <c r="R38" i="4"/>
  <c r="Q38" i="4"/>
  <c r="P38" i="4"/>
  <c r="N38" i="4"/>
  <c r="M38" i="4"/>
  <c r="J38" i="4"/>
  <c r="I38" i="4"/>
  <c r="H38" i="4"/>
  <c r="G38" i="4"/>
  <c r="F38" i="4"/>
  <c r="E38" i="4"/>
  <c r="D38" i="4"/>
  <c r="R37" i="4"/>
  <c r="Q37" i="4"/>
  <c r="P37" i="4"/>
  <c r="O37" i="4"/>
  <c r="M37" i="4"/>
  <c r="J37" i="4"/>
  <c r="I37" i="4"/>
  <c r="H37" i="4"/>
  <c r="G37" i="4"/>
  <c r="F37" i="4"/>
  <c r="E37" i="4"/>
  <c r="D37" i="4"/>
  <c r="R36" i="4"/>
  <c r="Q36" i="4"/>
  <c r="P36" i="4"/>
  <c r="O36" i="4"/>
  <c r="N36" i="4"/>
  <c r="M36" i="4"/>
  <c r="H36" i="4"/>
  <c r="G36" i="4"/>
  <c r="F36" i="4"/>
  <c r="E36" i="4"/>
  <c r="R35" i="4"/>
  <c r="Q35" i="4"/>
  <c r="P35" i="4"/>
  <c r="O35" i="4"/>
  <c r="M35" i="4"/>
  <c r="H35" i="4"/>
  <c r="G35" i="4"/>
  <c r="F35" i="4"/>
  <c r="E35" i="4"/>
  <c r="D35" i="4"/>
  <c r="Q34" i="4"/>
  <c r="P34" i="4"/>
  <c r="O34" i="4"/>
  <c r="N34" i="4"/>
  <c r="M34" i="4"/>
  <c r="J34" i="4"/>
  <c r="I34" i="4"/>
  <c r="H34" i="4"/>
  <c r="G34" i="4"/>
  <c r="F34" i="4"/>
  <c r="E34" i="4"/>
  <c r="D34" i="4"/>
  <c r="R33" i="4"/>
  <c r="Q33" i="4"/>
  <c r="P33" i="4"/>
  <c r="O33" i="4"/>
  <c r="N33" i="4"/>
  <c r="M33" i="4"/>
  <c r="I33" i="4"/>
  <c r="H33" i="4"/>
  <c r="G33" i="4"/>
  <c r="F33" i="4"/>
  <c r="E33" i="4"/>
  <c r="D33" i="4"/>
  <c r="R29" i="4"/>
  <c r="Q29" i="4"/>
  <c r="P29" i="4"/>
  <c r="O29" i="4"/>
  <c r="N29" i="4"/>
  <c r="M29" i="4"/>
  <c r="I29" i="4"/>
  <c r="H29" i="4"/>
  <c r="G29" i="4"/>
  <c r="F29" i="4"/>
  <c r="E29" i="4"/>
  <c r="B30" i="4"/>
  <c r="C64" i="4"/>
  <c r="C63" i="4"/>
  <c r="C62" i="4"/>
  <c r="C61" i="4"/>
  <c r="C60" i="4"/>
  <c r="C59" i="4"/>
  <c r="C58" i="4"/>
  <c r="C57" i="4"/>
  <c r="C56" i="4"/>
  <c r="C49" i="4"/>
  <c r="C48" i="4"/>
  <c r="C47" i="4"/>
  <c r="C46" i="4"/>
  <c r="C45" i="4"/>
  <c r="C38" i="4"/>
  <c r="C37" i="4"/>
  <c r="C36" i="4"/>
  <c r="C35" i="4"/>
  <c r="C34" i="4"/>
  <c r="C33" i="4"/>
  <c r="C29" i="4"/>
  <c r="G50" i="4"/>
  <c r="K39" i="4"/>
  <c r="F39" i="4"/>
  <c r="I30" i="4"/>
  <c r="E66" i="2"/>
  <c r="K66" i="2"/>
  <c r="O50" i="4"/>
  <c r="Q39" i="4"/>
  <c r="O39" i="4"/>
  <c r="M39" i="4"/>
  <c r="I50" i="4"/>
  <c r="L39" i="4"/>
  <c r="J39" i="4"/>
  <c r="G39" i="4"/>
  <c r="D39" i="4"/>
  <c r="K30" i="4"/>
  <c r="E30" i="4"/>
  <c r="AJ35" i="1"/>
  <c r="AK35" i="1"/>
  <c r="D50" i="4"/>
  <c r="H50" i="4"/>
  <c r="L50" i="4"/>
  <c r="P50" i="4"/>
  <c r="F50" i="4"/>
  <c r="J50" i="4"/>
  <c r="N50" i="4"/>
  <c r="R50" i="4"/>
  <c r="F30" i="4"/>
  <c r="J30" i="4"/>
  <c r="N30" i="4"/>
  <c r="R30" i="4"/>
  <c r="D30" i="4"/>
  <c r="H30" i="4"/>
  <c r="L30" i="4"/>
  <c r="P30" i="4"/>
  <c r="I39" i="4"/>
  <c r="H28" i="1"/>
  <c r="I42" i="1"/>
  <c r="I61" i="1"/>
  <c r="H61" i="1"/>
  <c r="I44" i="1"/>
  <c r="I45" i="1"/>
  <c r="I46" i="1"/>
  <c r="I47" i="1"/>
  <c r="I48" i="1"/>
  <c r="I49" i="1"/>
  <c r="H49" i="1"/>
  <c r="I54" i="1"/>
  <c r="H54" i="1"/>
  <c r="H45" i="1"/>
  <c r="H46" i="1"/>
  <c r="O66" i="2"/>
  <c r="N66" i="2"/>
  <c r="L66" i="2"/>
  <c r="G66" i="2"/>
  <c r="J66" i="2"/>
  <c r="M66" i="2"/>
  <c r="H66" i="2"/>
  <c r="D66" i="2"/>
  <c r="I66" i="2"/>
  <c r="K35" i="1"/>
  <c r="P66" i="2"/>
  <c r="J37" i="19"/>
  <c r="H42" i="1"/>
  <c r="T8" i="4"/>
  <c r="I36" i="4"/>
  <c r="T16" i="4"/>
  <c r="I56" i="4"/>
  <c r="H44" i="1"/>
  <c r="Z22" i="4"/>
  <c r="L62" i="4"/>
  <c r="K62" i="4"/>
  <c r="H25" i="1"/>
  <c r="N34" i="1"/>
  <c r="J37" i="1"/>
  <c r="L37" i="18"/>
  <c r="H25" i="18"/>
  <c r="H28" i="18"/>
  <c r="J37" i="18"/>
  <c r="W5" i="4"/>
  <c r="J33" i="4"/>
  <c r="Q11" i="4"/>
  <c r="H45" i="4"/>
  <c r="W13" i="4"/>
  <c r="J47" i="4"/>
  <c r="Z6" i="4"/>
  <c r="L34" i="4"/>
  <c r="K34" i="4"/>
  <c r="Q19" i="4"/>
  <c r="H59" i="4"/>
  <c r="W21" i="4"/>
  <c r="J61" i="4"/>
  <c r="T24" i="4"/>
  <c r="I64" i="4"/>
  <c r="Z14" i="4"/>
  <c r="L48" i="4"/>
  <c r="K48" i="4"/>
  <c r="K34" i="18"/>
  <c r="W4" i="4"/>
  <c r="J29" i="4"/>
  <c r="Z10" i="4"/>
  <c r="L38" i="4"/>
  <c r="K38" i="4"/>
  <c r="Q15" i="4"/>
  <c r="H49" i="4"/>
  <c r="W17" i="4"/>
  <c r="J57" i="4"/>
  <c r="T20" i="4"/>
  <c r="I60" i="4"/>
  <c r="T7" i="4"/>
  <c r="I35" i="4"/>
  <c r="Z9" i="4"/>
  <c r="L37" i="4"/>
  <c r="K37" i="4"/>
  <c r="T12" i="4"/>
  <c r="I46" i="4"/>
  <c r="Z18" i="4"/>
  <c r="L58" i="4"/>
  <c r="K58" i="4"/>
  <c r="Q23" i="4"/>
  <c r="H63" i="4"/>
  <c r="H28" i="19"/>
  <c r="W23" i="2"/>
  <c r="K64" i="2"/>
  <c r="K23" i="2"/>
  <c r="G64" i="2"/>
  <c r="Q23" i="2"/>
  <c r="I64" i="2"/>
  <c r="N23" i="2"/>
  <c r="H64" i="2"/>
  <c r="F64" i="2"/>
  <c r="T23" i="2"/>
  <c r="J64" i="2"/>
  <c r="W19" i="2"/>
  <c r="K60" i="2"/>
  <c r="K19" i="2"/>
  <c r="G60" i="2"/>
  <c r="Q19" i="2"/>
  <c r="I60" i="2"/>
  <c r="Z19" i="2"/>
  <c r="L60" i="2"/>
  <c r="F60" i="2"/>
  <c r="T19" i="2"/>
  <c r="J60" i="2"/>
  <c r="W15" i="2"/>
  <c r="K50" i="2"/>
  <c r="K15" i="2"/>
  <c r="G50" i="2"/>
  <c r="Q15" i="2"/>
  <c r="I50" i="2"/>
  <c r="N15" i="2"/>
  <c r="H50" i="2"/>
  <c r="T15" i="2"/>
  <c r="J50" i="2"/>
  <c r="F50" i="2"/>
  <c r="W11" i="2"/>
  <c r="K46" i="2"/>
  <c r="K11" i="2"/>
  <c r="G46" i="2"/>
  <c r="Q11" i="2"/>
  <c r="I46" i="2"/>
  <c r="Z11" i="2"/>
  <c r="L46" i="2"/>
  <c r="T11" i="2"/>
  <c r="J46" i="2"/>
  <c r="F46" i="2"/>
  <c r="W7" i="2"/>
  <c r="K36" i="2"/>
  <c r="K7" i="2"/>
  <c r="G36" i="2"/>
  <c r="Q7" i="2"/>
  <c r="I36" i="2"/>
  <c r="N7" i="2"/>
  <c r="H36" i="2"/>
  <c r="F36" i="2"/>
  <c r="T7" i="2"/>
  <c r="J36" i="2"/>
  <c r="N11" i="2"/>
  <c r="H46" i="2"/>
  <c r="G30" i="4"/>
  <c r="K32" i="18"/>
  <c r="Q30" i="4"/>
  <c r="M30" i="4"/>
  <c r="AA35" i="18"/>
  <c r="M65" i="4"/>
  <c r="P39" i="4"/>
  <c r="J65" i="4"/>
  <c r="E65" i="4"/>
  <c r="K65" i="4"/>
  <c r="P65" i="4"/>
  <c r="F65" i="4"/>
  <c r="I65" i="4"/>
  <c r="N65" i="4"/>
  <c r="R65" i="4"/>
  <c r="R39" i="4"/>
  <c r="E39" i="4"/>
  <c r="K33" i="18"/>
  <c r="N39" i="4"/>
  <c r="Q4" i="2"/>
  <c r="I30" i="2"/>
  <c r="W4" i="2"/>
  <c r="K30" i="2"/>
  <c r="K4" i="2"/>
  <c r="G30" i="2"/>
  <c r="Q21" i="2"/>
  <c r="I62" i="2"/>
  <c r="W21" i="2"/>
  <c r="K62" i="2"/>
  <c r="K21" i="2"/>
  <c r="G62" i="2"/>
  <c r="Q17" i="2"/>
  <c r="I58" i="2"/>
  <c r="W17" i="2"/>
  <c r="K58" i="2"/>
  <c r="K17" i="2"/>
  <c r="G58" i="2"/>
  <c r="Q13" i="2"/>
  <c r="I48" i="2"/>
  <c r="W13" i="2"/>
  <c r="K48" i="2"/>
  <c r="K13" i="2"/>
  <c r="G48" i="2"/>
  <c r="Q9" i="2"/>
  <c r="I38" i="2"/>
  <c r="W9" i="2"/>
  <c r="K38" i="2"/>
  <c r="K9" i="2"/>
  <c r="G38" i="2"/>
  <c r="Q5" i="2"/>
  <c r="I34" i="2"/>
  <c r="W5" i="2"/>
  <c r="K34" i="2"/>
  <c r="K5" i="2"/>
  <c r="G34" i="2"/>
  <c r="T4" i="2"/>
  <c r="J30" i="2"/>
  <c r="T17" i="2"/>
  <c r="J58" i="2"/>
  <c r="T9" i="2"/>
  <c r="J38" i="2"/>
  <c r="Q66" i="2"/>
  <c r="M50" i="4"/>
  <c r="N22" i="2"/>
  <c r="H63" i="2"/>
  <c r="N18" i="2"/>
  <c r="H59" i="2"/>
  <c r="N14" i="2"/>
  <c r="H49" i="2"/>
  <c r="N10" i="2"/>
  <c r="H39" i="2"/>
  <c r="N6" i="2"/>
  <c r="H35" i="2"/>
  <c r="T24" i="2"/>
  <c r="J65" i="2"/>
  <c r="T20" i="2"/>
  <c r="J61" i="2"/>
  <c r="T16" i="2"/>
  <c r="J57" i="2"/>
  <c r="T12" i="2"/>
  <c r="J47" i="2"/>
  <c r="T8" i="2"/>
  <c r="J37" i="2"/>
  <c r="Z22" i="2"/>
  <c r="L63" i="2"/>
  <c r="Z18" i="2"/>
  <c r="L59" i="2"/>
  <c r="Z14" i="2"/>
  <c r="L49" i="2"/>
  <c r="Z10" i="2"/>
  <c r="L39" i="2"/>
  <c r="Z6" i="2"/>
  <c r="L35" i="2"/>
  <c r="N24" i="2"/>
  <c r="H65" i="2"/>
  <c r="N20" i="2"/>
  <c r="H61" i="2"/>
  <c r="N16" i="2"/>
  <c r="H57" i="2"/>
  <c r="N12" i="2"/>
  <c r="H47" i="2"/>
  <c r="N8" i="2"/>
  <c r="H37" i="2"/>
  <c r="K34" i="1"/>
  <c r="L35" i="1"/>
  <c r="L33" i="1"/>
  <c r="L34" i="1"/>
  <c r="L32" i="1"/>
  <c r="K33" i="1"/>
  <c r="M34" i="1"/>
  <c r="Z21" i="4"/>
  <c r="L61" i="4"/>
  <c r="K61" i="4"/>
  <c r="N34" i="18"/>
  <c r="M34" i="18"/>
  <c r="N33" i="18"/>
  <c r="M33" i="18"/>
  <c r="N35" i="18"/>
  <c r="M35" i="18"/>
  <c r="N32" i="18"/>
  <c r="W16" i="4"/>
  <c r="J56" i="4"/>
  <c r="K35" i="18"/>
  <c r="K36" i="18"/>
  <c r="T23" i="4"/>
  <c r="I63" i="4"/>
  <c r="J46" i="4"/>
  <c r="W12" i="4"/>
  <c r="W7" i="4"/>
  <c r="J35" i="4"/>
  <c r="Z17" i="4"/>
  <c r="L57" i="4"/>
  <c r="K57" i="4"/>
  <c r="T11" i="4"/>
  <c r="I45" i="4"/>
  <c r="N32" i="1"/>
  <c r="N33" i="1"/>
  <c r="M33" i="1"/>
  <c r="N35" i="1"/>
  <c r="M35" i="1"/>
  <c r="W24" i="4"/>
  <c r="J64" i="4"/>
  <c r="T19" i="4"/>
  <c r="I59" i="4"/>
  <c r="W8" i="4"/>
  <c r="J36" i="4"/>
  <c r="K32" i="1"/>
  <c r="K36" i="1"/>
  <c r="W20" i="4"/>
  <c r="J60" i="4"/>
  <c r="T15" i="4"/>
  <c r="I49" i="4"/>
  <c r="Z4" i="4"/>
  <c r="L29" i="4"/>
  <c r="K29" i="4"/>
  <c r="Z13" i="4"/>
  <c r="L47" i="4"/>
  <c r="K47" i="4"/>
  <c r="Z5" i="4"/>
  <c r="L33" i="4"/>
  <c r="K33" i="4"/>
  <c r="L36" i="1"/>
  <c r="L37" i="1"/>
  <c r="W15" i="4"/>
  <c r="J49" i="4"/>
  <c r="Z12" i="4"/>
  <c r="L46" i="4"/>
  <c r="K46" i="4"/>
  <c r="K78" i="18"/>
  <c r="K37" i="18"/>
  <c r="M32" i="18"/>
  <c r="M36" i="18"/>
  <c r="M37" i="18"/>
  <c r="N21" i="18"/>
  <c r="N36" i="18"/>
  <c r="Z8" i="4"/>
  <c r="L36" i="4"/>
  <c r="K36" i="4"/>
  <c r="Z24" i="4"/>
  <c r="L64" i="4"/>
  <c r="K64" i="4"/>
  <c r="N36" i="1"/>
  <c r="K78" i="1"/>
  <c r="M32" i="1"/>
  <c r="M36" i="1"/>
  <c r="M37" i="1"/>
  <c r="N21" i="1"/>
  <c r="Z20" i="4"/>
  <c r="L60" i="4"/>
  <c r="K60" i="4"/>
  <c r="K37" i="1"/>
  <c r="W19" i="4"/>
  <c r="J59" i="4"/>
  <c r="W11" i="4"/>
  <c r="J45" i="4"/>
  <c r="K35" i="4"/>
  <c r="Z7" i="4"/>
  <c r="L35" i="4"/>
  <c r="W23" i="4"/>
  <c r="J63" i="4"/>
  <c r="Z16" i="4"/>
  <c r="L56" i="4"/>
  <c r="K56" i="4"/>
  <c r="M37" i="19"/>
  <c r="N21" i="19"/>
  <c r="S44" i="19"/>
  <c r="L37" i="19"/>
  <c r="K37" i="19"/>
  <c r="S60" i="1"/>
  <c r="Q56" i="1"/>
  <c r="Q51" i="1"/>
  <c r="Q47" i="1"/>
  <c r="S59" i="1"/>
  <c r="S55" i="1"/>
  <c r="S51" i="1"/>
  <c r="S47" i="1"/>
  <c r="R58" i="1"/>
  <c r="P50" i="1"/>
  <c r="Q53" i="1"/>
  <c r="R55" i="1"/>
  <c r="P57" i="1"/>
  <c r="R52" i="1"/>
  <c r="Q58" i="1"/>
  <c r="R53" i="1"/>
  <c r="S57" i="1"/>
  <c r="P53" i="1"/>
  <c r="S53" i="1"/>
  <c r="P58" i="1"/>
  <c r="R59" i="1"/>
  <c r="P55" i="1"/>
  <c r="R48" i="1"/>
  <c r="P60" i="1"/>
  <c r="Q55" i="1"/>
  <c r="R56" i="1"/>
  <c r="Q60" i="1"/>
  <c r="P47" i="1"/>
  <c r="R60" i="1"/>
  <c r="Q52" i="1"/>
  <c r="S52" i="1"/>
  <c r="P52" i="1"/>
  <c r="P56" i="1"/>
  <c r="R57" i="1"/>
  <c r="Q59" i="1"/>
  <c r="S58" i="1"/>
  <c r="R51" i="1"/>
  <c r="Q57" i="1"/>
  <c r="S56" i="1"/>
  <c r="R47" i="1"/>
  <c r="P59" i="1"/>
  <c r="S50" i="1"/>
  <c r="P51" i="1"/>
  <c r="S48" i="1"/>
  <c r="Q50" i="1"/>
  <c r="P48" i="1"/>
  <c r="R50" i="1"/>
  <c r="Q48" i="1"/>
  <c r="Q58" i="18"/>
  <c r="S60" i="18"/>
  <c r="S56" i="18"/>
  <c r="R56" i="18"/>
  <c r="S52" i="18"/>
  <c r="S48" i="18"/>
  <c r="S44" i="18"/>
  <c r="R59" i="18"/>
  <c r="R53" i="18"/>
  <c r="Q49" i="18"/>
  <c r="Q45" i="18"/>
  <c r="P58" i="18"/>
  <c r="T58" i="18"/>
  <c r="R47" i="18"/>
  <c r="P60" i="18"/>
  <c r="S53" i="18"/>
  <c r="R46" i="18"/>
  <c r="P45" i="18"/>
  <c r="P48" i="18"/>
  <c r="Q60" i="18"/>
  <c r="Q56" i="18"/>
  <c r="S58" i="18"/>
  <c r="R60" i="18"/>
  <c r="P54" i="18"/>
  <c r="S50" i="18"/>
  <c r="S46" i="18"/>
  <c r="P42" i="18"/>
  <c r="R55" i="18"/>
  <c r="Q51" i="18"/>
  <c r="Q47" i="18"/>
  <c r="Q43" i="18"/>
  <c r="R51" i="18"/>
  <c r="R43" i="18"/>
  <c r="P56" i="18"/>
  <c r="R50" i="18"/>
  <c r="P57" i="18"/>
  <c r="Q55" i="18"/>
  <c r="S42" i="18"/>
  <c r="P52" i="18"/>
  <c r="P47" i="18"/>
  <c r="T47" i="18"/>
  <c r="Q57" i="18"/>
  <c r="S55" i="18"/>
  <c r="S51" i="18"/>
  <c r="S43" i="18"/>
  <c r="Q52" i="18"/>
  <c r="Q44" i="18"/>
  <c r="R45" i="18"/>
  <c r="R52" i="18"/>
  <c r="P46" i="18"/>
  <c r="Q54" i="18"/>
  <c r="Q53" i="18"/>
  <c r="Q61" i="18"/>
  <c r="S59" i="18"/>
  <c r="P55" i="18"/>
  <c r="S47" i="18"/>
  <c r="R57" i="18"/>
  <c r="Q48" i="18"/>
  <c r="S54" i="18"/>
  <c r="R44" i="18"/>
  <c r="P44" i="18"/>
  <c r="T44" i="18"/>
  <c r="S61" i="18"/>
  <c r="S49" i="18"/>
  <c r="Q50" i="18"/>
  <c r="Q42" i="18"/>
  <c r="P49" i="18"/>
  <c r="P51" i="18"/>
  <c r="S57" i="18"/>
  <c r="S45" i="18"/>
  <c r="Q46" i="18"/>
  <c r="P61" i="18"/>
  <c r="P43" i="18"/>
  <c r="P53" i="18"/>
  <c r="T53" i="18"/>
  <c r="R49" i="18"/>
  <c r="P59" i="18"/>
  <c r="R61" i="18"/>
  <c r="R48" i="18"/>
  <c r="Q59" i="18"/>
  <c r="P50" i="18"/>
  <c r="R58" i="18"/>
  <c r="R54" i="18"/>
  <c r="R42" i="18"/>
  <c r="R62" i="18"/>
  <c r="K59" i="4"/>
  <c r="Z19" i="4"/>
  <c r="L59" i="4"/>
  <c r="K63" i="4"/>
  <c r="Z23" i="4"/>
  <c r="L63" i="4"/>
  <c r="K45" i="4"/>
  <c r="Z11" i="4"/>
  <c r="L45" i="4"/>
  <c r="I52" i="18"/>
  <c r="I58" i="18"/>
  <c r="I42" i="18"/>
  <c r="I43" i="18"/>
  <c r="I49" i="18"/>
  <c r="I60" i="18"/>
  <c r="I44" i="18"/>
  <c r="I50" i="18"/>
  <c r="I59" i="18"/>
  <c r="I55" i="18"/>
  <c r="I45" i="18"/>
  <c r="I53" i="18"/>
  <c r="I48" i="18"/>
  <c r="J38" i="18"/>
  <c r="I61" i="18"/>
  <c r="I54" i="18"/>
  <c r="N37" i="18"/>
  <c r="I57" i="18"/>
  <c r="K38" i="18"/>
  <c r="L38" i="18"/>
  <c r="I46" i="18"/>
  <c r="I56" i="18"/>
  <c r="I47" i="18"/>
  <c r="I51" i="18"/>
  <c r="L78" i="18"/>
  <c r="J78" i="18"/>
  <c r="I42" i="19"/>
  <c r="I43" i="19"/>
  <c r="I51" i="1"/>
  <c r="I55" i="1"/>
  <c r="I59" i="1"/>
  <c r="J38" i="1"/>
  <c r="I53" i="1"/>
  <c r="I57" i="1"/>
  <c r="N37" i="1"/>
  <c r="I52" i="1"/>
  <c r="I60" i="1"/>
  <c r="K38" i="1"/>
  <c r="L38" i="1"/>
  <c r="I56" i="1"/>
  <c r="I58" i="1"/>
  <c r="H47" i="1"/>
  <c r="I50" i="1"/>
  <c r="L78" i="1"/>
  <c r="J78" i="1"/>
  <c r="H48" i="1"/>
  <c r="Z15" i="4"/>
  <c r="L49" i="4"/>
  <c r="K49" i="4"/>
  <c r="J42" i="19"/>
  <c r="I56" i="19"/>
  <c r="H56" i="19"/>
  <c r="I46" i="19"/>
  <c r="I55" i="19"/>
  <c r="H55" i="19"/>
  <c r="P44" i="19"/>
  <c r="S58" i="19"/>
  <c r="I60" i="19"/>
  <c r="H60" i="19"/>
  <c r="P47" i="19"/>
  <c r="S48" i="19"/>
  <c r="S56" i="19"/>
  <c r="Q60" i="19"/>
  <c r="R51" i="19"/>
  <c r="R50" i="19"/>
  <c r="S57" i="19"/>
  <c r="S42" i="19"/>
  <c r="P42" i="19"/>
  <c r="S51" i="19"/>
  <c r="Q48" i="19"/>
  <c r="P50" i="19"/>
  <c r="Q58" i="19"/>
  <c r="S49" i="19"/>
  <c r="Q56" i="19"/>
  <c r="R53" i="19"/>
  <c r="R55" i="19"/>
  <c r="Q46" i="19"/>
  <c r="I44" i="19"/>
  <c r="H44" i="19"/>
  <c r="I50" i="19"/>
  <c r="H50" i="19"/>
  <c r="I52" i="19"/>
  <c r="H52" i="19"/>
  <c r="Q53" i="19"/>
  <c r="Q57" i="19"/>
  <c r="R59" i="19"/>
  <c r="P56" i="19"/>
  <c r="P53" i="19"/>
  <c r="R61" i="19"/>
  <c r="S47" i="19"/>
  <c r="P52" i="19"/>
  <c r="P58" i="19"/>
  <c r="S52" i="19"/>
  <c r="S43" i="19"/>
  <c r="Q54" i="19"/>
  <c r="Q47" i="19"/>
  <c r="S61" i="19"/>
  <c r="Q61" i="19"/>
  <c r="Q51" i="19"/>
  <c r="Q49" i="19"/>
  <c r="Q50" i="19"/>
  <c r="R46" i="19"/>
  <c r="Q59" i="19"/>
  <c r="P59" i="19"/>
  <c r="S53" i="19"/>
  <c r="S60" i="19"/>
  <c r="S55" i="19"/>
  <c r="S46" i="19"/>
  <c r="R54" i="19"/>
  <c r="P57" i="19"/>
  <c r="P51" i="19"/>
  <c r="R49" i="19"/>
  <c r="P61" i="19"/>
  <c r="R52" i="19"/>
  <c r="P48" i="19"/>
  <c r="R43" i="19"/>
  <c r="P55" i="19"/>
  <c r="R42" i="19"/>
  <c r="Q42" i="19"/>
  <c r="S54" i="19"/>
  <c r="R58" i="19"/>
  <c r="R48" i="19"/>
  <c r="P60" i="19"/>
  <c r="R47" i="19"/>
  <c r="R60" i="19"/>
  <c r="P45" i="19"/>
  <c r="Q44" i="19"/>
  <c r="P43" i="19"/>
  <c r="P46" i="19"/>
  <c r="R45" i="19"/>
  <c r="R44" i="19"/>
  <c r="Q45" i="19"/>
  <c r="S45" i="19"/>
  <c r="R56" i="19"/>
  <c r="P49" i="19"/>
  <c r="Q52" i="19"/>
  <c r="S59" i="19"/>
  <c r="R57" i="19"/>
  <c r="P54" i="19"/>
  <c r="Q55" i="19"/>
  <c r="S50" i="19"/>
  <c r="Q43" i="19"/>
  <c r="N37" i="19"/>
  <c r="I45" i="19"/>
  <c r="H45" i="19"/>
  <c r="I53" i="19"/>
  <c r="H53" i="19"/>
  <c r="I54" i="19"/>
  <c r="H54" i="19"/>
  <c r="I48" i="19"/>
  <c r="H48" i="19"/>
  <c r="I59" i="19"/>
  <c r="H59" i="19"/>
  <c r="I47" i="19"/>
  <c r="H47" i="19"/>
  <c r="I58" i="19"/>
  <c r="H58" i="19"/>
  <c r="I51" i="19"/>
  <c r="H51" i="19"/>
  <c r="I61" i="19"/>
  <c r="H61" i="19"/>
  <c r="I49" i="19"/>
  <c r="H49" i="19"/>
  <c r="I57" i="19"/>
  <c r="H57" i="19"/>
  <c r="T51" i="1"/>
  <c r="T55" i="1"/>
  <c r="M78" i="1"/>
  <c r="J42" i="1"/>
  <c r="J79" i="1"/>
  <c r="H60" i="1"/>
  <c r="H53" i="1"/>
  <c r="H46" i="19"/>
  <c r="H56" i="18"/>
  <c r="H55" i="18"/>
  <c r="H58" i="18"/>
  <c r="T49" i="18"/>
  <c r="T57" i="1"/>
  <c r="H56" i="1"/>
  <c r="H59" i="18"/>
  <c r="H52" i="18"/>
  <c r="Q62" i="18"/>
  <c r="H50" i="1"/>
  <c r="I62" i="1"/>
  <c r="M38" i="1"/>
  <c r="H59" i="1"/>
  <c r="H43" i="19"/>
  <c r="H51" i="18"/>
  <c r="M38" i="18"/>
  <c r="H54" i="18"/>
  <c r="H53" i="18"/>
  <c r="H50" i="18"/>
  <c r="H43" i="18"/>
  <c r="T43" i="18"/>
  <c r="T52" i="18"/>
  <c r="P62" i="18"/>
  <c r="T42" i="18"/>
  <c r="T48" i="18"/>
  <c r="T60" i="18"/>
  <c r="T56" i="1"/>
  <c r="T47" i="1"/>
  <c r="T60" i="1"/>
  <c r="T50" i="1"/>
  <c r="H58" i="1"/>
  <c r="H51" i="1"/>
  <c r="M78" i="18"/>
  <c r="N78" i="18"/>
  <c r="H57" i="18"/>
  <c r="H60" i="18"/>
  <c r="T46" i="18"/>
  <c r="H52" i="1"/>
  <c r="H42" i="19"/>
  <c r="H46" i="18"/>
  <c r="H48" i="18"/>
  <c r="H49" i="18"/>
  <c r="T57" i="18"/>
  <c r="T54" i="18"/>
  <c r="T58" i="1"/>
  <c r="H57" i="1"/>
  <c r="H55" i="1"/>
  <c r="H47" i="18"/>
  <c r="H61" i="18"/>
  <c r="H45" i="18"/>
  <c r="H44" i="18"/>
  <c r="H42" i="18"/>
  <c r="I62" i="18"/>
  <c r="J42" i="18"/>
  <c r="T50" i="18"/>
  <c r="T59" i="18"/>
  <c r="T61" i="18"/>
  <c r="T51" i="18"/>
  <c r="T55" i="18"/>
  <c r="S62" i="18"/>
  <c r="T56" i="18"/>
  <c r="T45" i="18"/>
  <c r="T48" i="1"/>
  <c r="T59" i="1"/>
  <c r="T52" i="1"/>
  <c r="T53" i="1"/>
  <c r="N78" i="19"/>
  <c r="T47" i="19"/>
  <c r="T57" i="19"/>
  <c r="T58" i="19"/>
  <c r="T55" i="19"/>
  <c r="T51" i="19"/>
  <c r="T50" i="19"/>
  <c r="T61" i="19"/>
  <c r="T43" i="19"/>
  <c r="S62" i="19"/>
  <c r="T60" i="19"/>
  <c r="T42" i="19"/>
  <c r="T48" i="19"/>
  <c r="T52" i="19"/>
  <c r="T56" i="19"/>
  <c r="T49" i="19"/>
  <c r="T44" i="19"/>
  <c r="T54" i="19"/>
  <c r="R62" i="19"/>
  <c r="T59" i="19"/>
  <c r="T46" i="19"/>
  <c r="T53" i="19"/>
  <c r="P62" i="19"/>
  <c r="Q62" i="19"/>
  <c r="T45" i="19"/>
  <c r="I62" i="19"/>
  <c r="H62" i="1"/>
  <c r="Y42" i="19"/>
  <c r="T62" i="18"/>
  <c r="J43" i="1"/>
  <c r="J80" i="1"/>
  <c r="H62" i="18"/>
  <c r="J79" i="19"/>
  <c r="AH42" i="1"/>
  <c r="P42" i="1"/>
  <c r="Y42" i="18"/>
  <c r="H62" i="19"/>
  <c r="N78" i="1"/>
  <c r="J79" i="18"/>
  <c r="T62" i="19"/>
  <c r="K42" i="19"/>
  <c r="J43" i="18"/>
  <c r="K42" i="18"/>
  <c r="K42" i="1"/>
  <c r="J44" i="1"/>
  <c r="J43" i="19"/>
  <c r="AH43" i="1"/>
  <c r="P43" i="1"/>
  <c r="K79" i="1"/>
  <c r="Q42" i="1"/>
  <c r="AI42" i="1"/>
  <c r="K79" i="18"/>
  <c r="Z42" i="18"/>
  <c r="K79" i="19"/>
  <c r="Z42" i="19"/>
  <c r="Y43" i="19"/>
  <c r="J80" i="19"/>
  <c r="AH44" i="1"/>
  <c r="P44" i="1"/>
  <c r="J81" i="1"/>
  <c r="Y43" i="18"/>
  <c r="J80" i="18"/>
  <c r="J45" i="1"/>
  <c r="L42" i="18"/>
  <c r="L42" i="19"/>
  <c r="K43" i="1"/>
  <c r="L42" i="1"/>
  <c r="J44" i="18"/>
  <c r="K43" i="18"/>
  <c r="J44" i="19"/>
  <c r="K43" i="19"/>
  <c r="R42" i="1"/>
  <c r="L79" i="1"/>
  <c r="AJ42" i="1"/>
  <c r="K80" i="19"/>
  <c r="Z43" i="19"/>
  <c r="Y44" i="18"/>
  <c r="J81" i="18"/>
  <c r="Q43" i="1"/>
  <c r="AI43" i="1"/>
  <c r="K80" i="1"/>
  <c r="AH45" i="1"/>
  <c r="P45" i="1"/>
  <c r="J82" i="1"/>
  <c r="L79" i="19"/>
  <c r="AA42" i="19"/>
  <c r="Y44" i="19"/>
  <c r="J81" i="19"/>
  <c r="K80" i="18"/>
  <c r="Z43" i="18"/>
  <c r="L79" i="18"/>
  <c r="AA42" i="18"/>
  <c r="J45" i="19"/>
  <c r="K44" i="18"/>
  <c r="J46" i="1"/>
  <c r="L43" i="1"/>
  <c r="L43" i="19"/>
  <c r="M42" i="19"/>
  <c r="L43" i="18"/>
  <c r="K44" i="19"/>
  <c r="M42" i="18"/>
  <c r="J45" i="18"/>
  <c r="K44" i="1"/>
  <c r="M42" i="1"/>
  <c r="M79" i="18"/>
  <c r="N79" i="18"/>
  <c r="AB42" i="18"/>
  <c r="N42" i="18"/>
  <c r="Z44" i="19"/>
  <c r="K81" i="19"/>
  <c r="AH46" i="1"/>
  <c r="P46" i="1"/>
  <c r="J83" i="1"/>
  <c r="Y45" i="18"/>
  <c r="J82" i="18"/>
  <c r="R43" i="1"/>
  <c r="L80" i="1"/>
  <c r="AJ43" i="1"/>
  <c r="Y45" i="19"/>
  <c r="J82" i="19"/>
  <c r="Q44" i="1"/>
  <c r="AI44" i="1"/>
  <c r="K81" i="1"/>
  <c r="L80" i="19"/>
  <c r="AA43" i="19"/>
  <c r="M79" i="19"/>
  <c r="N79" i="19"/>
  <c r="AB42" i="19"/>
  <c r="N42" i="19"/>
  <c r="K81" i="18"/>
  <c r="Z44" i="18"/>
  <c r="S42" i="1"/>
  <c r="M79" i="1"/>
  <c r="N79" i="1"/>
  <c r="N42" i="1"/>
  <c r="AK42" i="1"/>
  <c r="AA43" i="18"/>
  <c r="L80" i="18"/>
  <c r="J47" i="1"/>
  <c r="K45" i="18"/>
  <c r="M43" i="18"/>
  <c r="K45" i="1"/>
  <c r="M43" i="1"/>
  <c r="L44" i="1"/>
  <c r="L44" i="19"/>
  <c r="L44" i="18"/>
  <c r="T42" i="1"/>
  <c r="M43" i="19"/>
  <c r="J46" i="19"/>
  <c r="K45" i="19"/>
  <c r="J46" i="18"/>
  <c r="Y46" i="18"/>
  <c r="J83" i="18"/>
  <c r="Y46" i="19"/>
  <c r="J83" i="19"/>
  <c r="Z45" i="18"/>
  <c r="K82" i="18"/>
  <c r="AH47" i="1"/>
  <c r="J84" i="1"/>
  <c r="AA44" i="18"/>
  <c r="L81" i="18"/>
  <c r="L81" i="19"/>
  <c r="AA44" i="19"/>
  <c r="R44" i="1"/>
  <c r="AJ44" i="1"/>
  <c r="L81" i="1"/>
  <c r="S43" i="1"/>
  <c r="AK43" i="1"/>
  <c r="M80" i="1"/>
  <c r="N80" i="1"/>
  <c r="N43" i="1"/>
  <c r="M80" i="18"/>
  <c r="N80" i="18"/>
  <c r="N43" i="18"/>
  <c r="AB43" i="18"/>
  <c r="Q45" i="1"/>
  <c r="AI45" i="1"/>
  <c r="K82" i="1"/>
  <c r="K82" i="19"/>
  <c r="Z45" i="19"/>
  <c r="N43" i="19"/>
  <c r="M80" i="19"/>
  <c r="N80" i="19"/>
  <c r="AB43" i="19"/>
  <c r="M44" i="1"/>
  <c r="M44" i="19"/>
  <c r="J48" i="1"/>
  <c r="K46" i="19"/>
  <c r="L45" i="1"/>
  <c r="M44" i="18"/>
  <c r="J47" i="18"/>
  <c r="K46" i="18"/>
  <c r="T43" i="1"/>
  <c r="L45" i="18"/>
  <c r="L45" i="19"/>
  <c r="K46" i="1"/>
  <c r="J47" i="19"/>
  <c r="Y47" i="19"/>
  <c r="J84" i="19"/>
  <c r="AA45" i="18"/>
  <c r="L82" i="18"/>
  <c r="Q46" i="1"/>
  <c r="AI46" i="1"/>
  <c r="K83" i="1"/>
  <c r="L82" i="19"/>
  <c r="AA45" i="19"/>
  <c r="Z46" i="18"/>
  <c r="K83" i="18"/>
  <c r="Z46" i="19"/>
  <c r="K83" i="19"/>
  <c r="AB44" i="19"/>
  <c r="M81" i="19"/>
  <c r="N81" i="19"/>
  <c r="N44" i="19"/>
  <c r="AH48" i="1"/>
  <c r="J85" i="1"/>
  <c r="Y47" i="18"/>
  <c r="J84" i="18"/>
  <c r="N44" i="18"/>
  <c r="AB44" i="18"/>
  <c r="M81" i="18"/>
  <c r="N81" i="18"/>
  <c r="R45" i="1"/>
  <c r="L82" i="1"/>
  <c r="AJ45" i="1"/>
  <c r="S44" i="1"/>
  <c r="AK44" i="1"/>
  <c r="N44" i="1"/>
  <c r="M81" i="1"/>
  <c r="N81" i="1"/>
  <c r="J48" i="18"/>
  <c r="M45" i="19"/>
  <c r="M45" i="1"/>
  <c r="K47" i="18"/>
  <c r="J49" i="1"/>
  <c r="L46" i="19"/>
  <c r="K47" i="19"/>
  <c r="T44" i="1"/>
  <c r="L46" i="18"/>
  <c r="L46" i="1"/>
  <c r="M45" i="18"/>
  <c r="J48" i="19"/>
  <c r="K47" i="1"/>
  <c r="Y48" i="19"/>
  <c r="J85" i="19"/>
  <c r="AI47" i="1"/>
  <c r="K84" i="1"/>
  <c r="N45" i="19"/>
  <c r="M82" i="19"/>
  <c r="N82" i="19"/>
  <c r="AB45" i="19"/>
  <c r="AB45" i="18"/>
  <c r="N45" i="18"/>
  <c r="M82" i="18"/>
  <c r="N82" i="18"/>
  <c r="L83" i="18"/>
  <c r="AA46" i="18"/>
  <c r="L83" i="19"/>
  <c r="AA46" i="19"/>
  <c r="AH49" i="1"/>
  <c r="P49" i="1"/>
  <c r="J86" i="1"/>
  <c r="Y48" i="18"/>
  <c r="K48" i="18"/>
  <c r="J85" i="18"/>
  <c r="Z47" i="19"/>
  <c r="K84" i="19"/>
  <c r="K84" i="18"/>
  <c r="Z47" i="18"/>
  <c r="L47" i="18"/>
  <c r="S45" i="1"/>
  <c r="AK45" i="1"/>
  <c r="N45" i="1"/>
  <c r="M82" i="1"/>
  <c r="N82" i="1"/>
  <c r="R46" i="1"/>
  <c r="AJ46" i="1"/>
  <c r="L83" i="1"/>
  <c r="M46" i="1"/>
  <c r="Z48" i="18"/>
  <c r="L84" i="18"/>
  <c r="K85" i="18"/>
  <c r="L47" i="19"/>
  <c r="J50" i="1"/>
  <c r="K48" i="19"/>
  <c r="T45" i="1"/>
  <c r="J49" i="18"/>
  <c r="M46" i="18"/>
  <c r="K48" i="1"/>
  <c r="AA47" i="18"/>
  <c r="M46" i="19"/>
  <c r="L47" i="1"/>
  <c r="J49" i="19"/>
  <c r="AI48" i="1"/>
  <c r="K85" i="1"/>
  <c r="AA47" i="19"/>
  <c r="L84" i="19"/>
  <c r="L84" i="1"/>
  <c r="AJ47" i="1"/>
  <c r="AB46" i="18"/>
  <c r="M83" i="18"/>
  <c r="N83" i="18"/>
  <c r="M84" i="18"/>
  <c r="N84" i="18"/>
  <c r="N46" i="18"/>
  <c r="AH50" i="1"/>
  <c r="J87" i="1"/>
  <c r="L48" i="18"/>
  <c r="S46" i="1"/>
  <c r="AK46" i="1"/>
  <c r="N46" i="1"/>
  <c r="M83" i="1"/>
  <c r="N83" i="1"/>
  <c r="AB46" i="19"/>
  <c r="N46" i="19"/>
  <c r="M83" i="19"/>
  <c r="N83" i="19"/>
  <c r="Y49" i="18"/>
  <c r="K49" i="18"/>
  <c r="Z49" i="18"/>
  <c r="J86" i="18"/>
  <c r="Z48" i="19"/>
  <c r="K85" i="19"/>
  <c r="Y49" i="19"/>
  <c r="J86" i="19"/>
  <c r="M47" i="18"/>
  <c r="L48" i="1"/>
  <c r="AJ48" i="1"/>
  <c r="K49" i="19"/>
  <c r="Z49" i="19"/>
  <c r="M47" i="19"/>
  <c r="M84" i="19"/>
  <c r="N84" i="19"/>
  <c r="L49" i="18"/>
  <c r="K86" i="18"/>
  <c r="AA48" i="18"/>
  <c r="M48" i="18"/>
  <c r="AB48" i="18"/>
  <c r="L86" i="18"/>
  <c r="L85" i="18"/>
  <c r="N48" i="18"/>
  <c r="AB47" i="18"/>
  <c r="N47" i="18"/>
  <c r="L48" i="19"/>
  <c r="J50" i="18"/>
  <c r="J51" i="1"/>
  <c r="J50" i="19"/>
  <c r="T46" i="1"/>
  <c r="M47" i="1"/>
  <c r="K49" i="1"/>
  <c r="L85" i="1"/>
  <c r="K86" i="19"/>
  <c r="N47" i="19"/>
  <c r="AB47" i="19"/>
  <c r="Y50" i="18"/>
  <c r="K50" i="18"/>
  <c r="AA50" i="18"/>
  <c r="Z50" i="18"/>
  <c r="L50" i="18"/>
  <c r="J87" i="18"/>
  <c r="Q49" i="1"/>
  <c r="AI49" i="1"/>
  <c r="L49" i="1"/>
  <c r="AJ49" i="1"/>
  <c r="K86" i="1"/>
  <c r="N47" i="1"/>
  <c r="AK47" i="1"/>
  <c r="M84" i="1"/>
  <c r="AH51" i="1"/>
  <c r="J88" i="1"/>
  <c r="N49" i="18"/>
  <c r="AA49" i="18"/>
  <c r="M49" i="18"/>
  <c r="AB49" i="18"/>
  <c r="Y50" i="19"/>
  <c r="J87" i="19"/>
  <c r="L85" i="19"/>
  <c r="AA48" i="19"/>
  <c r="M48" i="19"/>
  <c r="N48" i="19"/>
  <c r="N85" i="18"/>
  <c r="M85" i="18"/>
  <c r="K50" i="19"/>
  <c r="Z50" i="19"/>
  <c r="AB48" i="19"/>
  <c r="L49" i="19"/>
  <c r="K50" i="1"/>
  <c r="M48" i="1"/>
  <c r="N84" i="1"/>
  <c r="J51" i="18"/>
  <c r="L87" i="18"/>
  <c r="M85" i="19"/>
  <c r="N85" i="19"/>
  <c r="J51" i="19"/>
  <c r="M86" i="18"/>
  <c r="N86" i="18"/>
  <c r="J52" i="1"/>
  <c r="R49" i="1"/>
  <c r="L86" i="1"/>
  <c r="K87" i="18"/>
  <c r="K87" i="19"/>
  <c r="Z51" i="18"/>
  <c r="L51" i="18"/>
  <c r="Y51" i="18"/>
  <c r="K51" i="18"/>
  <c r="J88" i="18"/>
  <c r="M50" i="18"/>
  <c r="AH52" i="1"/>
  <c r="J89" i="1"/>
  <c r="AK48" i="1"/>
  <c r="N48" i="1"/>
  <c r="M85" i="1"/>
  <c r="AA49" i="19"/>
  <c r="M49" i="19"/>
  <c r="L86" i="19"/>
  <c r="Y51" i="19"/>
  <c r="J88" i="19"/>
  <c r="AI50" i="1"/>
  <c r="L50" i="1"/>
  <c r="K87" i="1"/>
  <c r="K51" i="19"/>
  <c r="Z51" i="19"/>
  <c r="L87" i="1"/>
  <c r="J52" i="19"/>
  <c r="M86" i="19"/>
  <c r="N86" i="19"/>
  <c r="N85" i="1"/>
  <c r="M49" i="1"/>
  <c r="AA51" i="18"/>
  <c r="M51" i="18"/>
  <c r="N51" i="18"/>
  <c r="K51" i="1"/>
  <c r="AJ50" i="1"/>
  <c r="N49" i="19"/>
  <c r="K88" i="18"/>
  <c r="J53" i="1"/>
  <c r="J52" i="18"/>
  <c r="L88" i="18"/>
  <c r="L50" i="19"/>
  <c r="AB49" i="19"/>
  <c r="M87" i="18"/>
  <c r="N87" i="18"/>
  <c r="AB50" i="18"/>
  <c r="N50" i="18"/>
  <c r="AB51" i="18"/>
  <c r="K88" i="19"/>
  <c r="AH53" i="1"/>
  <c r="J90" i="1"/>
  <c r="AI51" i="1"/>
  <c r="L51" i="1"/>
  <c r="AJ51" i="1"/>
  <c r="K88" i="1"/>
  <c r="S49" i="1"/>
  <c r="T49" i="1"/>
  <c r="N49" i="1"/>
  <c r="AK49" i="1"/>
  <c r="M86" i="1"/>
  <c r="N86" i="1"/>
  <c r="M88" i="18"/>
  <c r="N88" i="18"/>
  <c r="AA50" i="19"/>
  <c r="M50" i="19"/>
  <c r="N50" i="19"/>
  <c r="L87" i="19"/>
  <c r="L51" i="19"/>
  <c r="Y52" i="18"/>
  <c r="K52" i="18"/>
  <c r="J89" i="18"/>
  <c r="Y52" i="19"/>
  <c r="J89" i="19"/>
  <c r="K52" i="19"/>
  <c r="Z52" i="19"/>
  <c r="AB50" i="19"/>
  <c r="AA51" i="19"/>
  <c r="L88" i="19"/>
  <c r="J53" i="18"/>
  <c r="K52" i="1"/>
  <c r="L88" i="1"/>
  <c r="J53" i="19"/>
  <c r="K89" i="18"/>
  <c r="Z52" i="18"/>
  <c r="L52" i="18"/>
  <c r="AA52" i="18"/>
  <c r="M52" i="18"/>
  <c r="M87" i="19"/>
  <c r="N87" i="19"/>
  <c r="M50" i="1"/>
  <c r="J54" i="1"/>
  <c r="K89" i="19"/>
  <c r="M89" i="18"/>
  <c r="AB52" i="18"/>
  <c r="AH54" i="1"/>
  <c r="P54" i="1"/>
  <c r="J91" i="1"/>
  <c r="Y53" i="18"/>
  <c r="K53" i="18"/>
  <c r="Z53" i="18"/>
  <c r="L53" i="18"/>
  <c r="J90" i="18"/>
  <c r="N50" i="1"/>
  <c r="AK50" i="1"/>
  <c r="M87" i="1"/>
  <c r="M51" i="19"/>
  <c r="Y53" i="19"/>
  <c r="J90" i="19"/>
  <c r="L89" i="18"/>
  <c r="N89" i="18"/>
  <c r="AI52" i="1"/>
  <c r="L52" i="1"/>
  <c r="K89" i="1"/>
  <c r="L52" i="19"/>
  <c r="N52" i="18"/>
  <c r="K53" i="19"/>
  <c r="K90" i="19"/>
  <c r="L90" i="18"/>
  <c r="L89" i="1"/>
  <c r="M88" i="19"/>
  <c r="N88" i="19"/>
  <c r="AB51" i="19"/>
  <c r="N51" i="19"/>
  <c r="AA52" i="19"/>
  <c r="L89" i="19"/>
  <c r="J54" i="19"/>
  <c r="AJ52" i="1"/>
  <c r="K90" i="18"/>
  <c r="N53" i="18"/>
  <c r="K53" i="1"/>
  <c r="N87" i="1"/>
  <c r="M51" i="1"/>
  <c r="J54" i="18"/>
  <c r="AA53" i="18"/>
  <c r="M53" i="18"/>
  <c r="J55" i="1"/>
  <c r="Z53" i="19"/>
  <c r="L53" i="19"/>
  <c r="L90" i="19"/>
  <c r="M52" i="19"/>
  <c r="M89" i="19"/>
  <c r="N89" i="19"/>
  <c r="N51" i="1"/>
  <c r="AK51" i="1"/>
  <c r="M88" i="1"/>
  <c r="N88" i="1"/>
  <c r="AH55" i="1"/>
  <c r="J92" i="1"/>
  <c r="M90" i="18"/>
  <c r="N90" i="18"/>
  <c r="AI53" i="1"/>
  <c r="L53" i="1"/>
  <c r="K90" i="1"/>
  <c r="Y54" i="19"/>
  <c r="K54" i="19"/>
  <c r="Z54" i="19"/>
  <c r="J91" i="19"/>
  <c r="AB53" i="18"/>
  <c r="Y54" i="18"/>
  <c r="K54" i="18"/>
  <c r="Z54" i="18"/>
  <c r="L54" i="18"/>
  <c r="J91" i="18"/>
  <c r="N52" i="19"/>
  <c r="AB52" i="19"/>
  <c r="L54" i="19"/>
  <c r="L91" i="19"/>
  <c r="AA53" i="19"/>
  <c r="M53" i="19"/>
  <c r="L91" i="18"/>
  <c r="K54" i="1"/>
  <c r="L90" i="1"/>
  <c r="M52" i="1"/>
  <c r="J56" i="1"/>
  <c r="K91" i="18"/>
  <c r="J55" i="18"/>
  <c r="AA54" i="18"/>
  <c r="M54" i="18"/>
  <c r="J55" i="19"/>
  <c r="AB54" i="18"/>
  <c r="K91" i="19"/>
  <c r="AJ53" i="1"/>
  <c r="AA54" i="19"/>
  <c r="N53" i="19"/>
  <c r="M90" i="19"/>
  <c r="N90" i="19"/>
  <c r="AB53" i="19"/>
  <c r="AH56" i="1"/>
  <c r="J93" i="1"/>
  <c r="N52" i="1"/>
  <c r="AK52" i="1"/>
  <c r="M89" i="1"/>
  <c r="N89" i="1"/>
  <c r="M91" i="18"/>
  <c r="N91" i="18"/>
  <c r="Y55" i="19"/>
  <c r="K55" i="19"/>
  <c r="Z55" i="19"/>
  <c r="L55" i="19"/>
  <c r="J92" i="19"/>
  <c r="Y55" i="18"/>
  <c r="K55" i="18"/>
  <c r="Z55" i="18"/>
  <c r="L55" i="18"/>
  <c r="J92" i="18"/>
  <c r="N54" i="18"/>
  <c r="Q54" i="1"/>
  <c r="AI54" i="1"/>
  <c r="L54" i="1"/>
  <c r="AJ54" i="1"/>
  <c r="K91" i="1"/>
  <c r="M53" i="1"/>
  <c r="N53" i="1"/>
  <c r="M54" i="19"/>
  <c r="N54" i="19"/>
  <c r="K55" i="1"/>
  <c r="J56" i="18"/>
  <c r="K92" i="18"/>
  <c r="AK53" i="1"/>
  <c r="AB55" i="18"/>
  <c r="J56" i="19"/>
  <c r="K92" i="19"/>
  <c r="L92" i="18"/>
  <c r="N55" i="18"/>
  <c r="L92" i="19"/>
  <c r="R54" i="1"/>
  <c r="L91" i="1"/>
  <c r="AA55" i="18"/>
  <c r="M55" i="18"/>
  <c r="AA55" i="19"/>
  <c r="J57" i="1"/>
  <c r="M90" i="1"/>
  <c r="N90" i="1"/>
  <c r="AB54" i="19"/>
  <c r="M91" i="19"/>
  <c r="N91" i="19"/>
  <c r="AH57" i="1"/>
  <c r="J94" i="1"/>
  <c r="M92" i="18"/>
  <c r="N92" i="18"/>
  <c r="M54" i="1"/>
  <c r="Y56" i="19"/>
  <c r="K56" i="19"/>
  <c r="J93" i="19"/>
  <c r="AI55" i="1"/>
  <c r="L55" i="1"/>
  <c r="AJ55" i="1"/>
  <c r="K92" i="1"/>
  <c r="Y56" i="18"/>
  <c r="K56" i="18"/>
  <c r="J93" i="18"/>
  <c r="M55" i="19"/>
  <c r="K56" i="1"/>
  <c r="K93" i="19"/>
  <c r="J57" i="18"/>
  <c r="J58" i="1"/>
  <c r="K93" i="18"/>
  <c r="J57" i="19"/>
  <c r="Z56" i="18"/>
  <c r="L56" i="18"/>
  <c r="Z56" i="19"/>
  <c r="L56" i="19"/>
  <c r="L92" i="1"/>
  <c r="S54" i="1"/>
  <c r="T54" i="1"/>
  <c r="N54" i="1"/>
  <c r="AK54" i="1"/>
  <c r="M91" i="1"/>
  <c r="N91" i="1"/>
  <c r="AB55" i="19"/>
  <c r="M92" i="19"/>
  <c r="N92" i="19"/>
  <c r="N55" i="19"/>
  <c r="AA56" i="19"/>
  <c r="AI56" i="1"/>
  <c r="L56" i="1"/>
  <c r="AJ56" i="1"/>
  <c r="K93" i="1"/>
  <c r="Y57" i="19"/>
  <c r="K57" i="19"/>
  <c r="Z57" i="19"/>
  <c r="J94" i="19"/>
  <c r="L93" i="19"/>
  <c r="AH58" i="1"/>
  <c r="J95" i="1"/>
  <c r="M55" i="1"/>
  <c r="L93" i="18"/>
  <c r="Y57" i="18"/>
  <c r="K57" i="18"/>
  <c r="Z57" i="18"/>
  <c r="L57" i="18"/>
  <c r="J94" i="18"/>
  <c r="AA56" i="18"/>
  <c r="M56" i="18"/>
  <c r="M56" i="19"/>
  <c r="N56" i="19"/>
  <c r="L57" i="19"/>
  <c r="L94" i="19"/>
  <c r="AA57" i="18"/>
  <c r="AK55" i="1"/>
  <c r="N55" i="1"/>
  <c r="M92" i="1"/>
  <c r="N92" i="1"/>
  <c r="K94" i="19"/>
  <c r="M93" i="18"/>
  <c r="N56" i="18"/>
  <c r="AB56" i="18"/>
  <c r="L94" i="18"/>
  <c r="J59" i="1"/>
  <c r="K57" i="1"/>
  <c r="J58" i="19"/>
  <c r="J58" i="18"/>
  <c r="K94" i="18"/>
  <c r="N93" i="18"/>
  <c r="L93" i="1"/>
  <c r="M56" i="1"/>
  <c r="AA57" i="19"/>
  <c r="M93" i="19"/>
  <c r="N93" i="19"/>
  <c r="AB56" i="19"/>
  <c r="N56" i="1"/>
  <c r="AK56" i="1"/>
  <c r="Y58" i="19"/>
  <c r="K58" i="19"/>
  <c r="Z58" i="19"/>
  <c r="L58" i="19"/>
  <c r="J95" i="19"/>
  <c r="M57" i="18"/>
  <c r="AH59" i="1"/>
  <c r="J96" i="1"/>
  <c r="Y58" i="18"/>
  <c r="K58" i="18"/>
  <c r="Z58" i="18"/>
  <c r="L58" i="18"/>
  <c r="J95" i="18"/>
  <c r="AI57" i="1"/>
  <c r="L57" i="1"/>
  <c r="AJ57" i="1"/>
  <c r="K94" i="1"/>
  <c r="M93" i="1"/>
  <c r="N93" i="1"/>
  <c r="M57" i="1"/>
  <c r="M94" i="1"/>
  <c r="M57" i="19"/>
  <c r="M94" i="19"/>
  <c r="N94" i="19"/>
  <c r="L95" i="19"/>
  <c r="AA58" i="19"/>
  <c r="K58" i="1"/>
  <c r="J60" i="1"/>
  <c r="L94" i="1"/>
  <c r="K95" i="18"/>
  <c r="L95" i="18"/>
  <c r="J59" i="18"/>
  <c r="AA58" i="18"/>
  <c r="AB57" i="18"/>
  <c r="M94" i="18"/>
  <c r="N94" i="18"/>
  <c r="N57" i="18"/>
  <c r="J59" i="19"/>
  <c r="K95" i="19"/>
  <c r="AK57" i="1"/>
  <c r="N57" i="1"/>
  <c r="N94" i="1"/>
  <c r="N57" i="19"/>
  <c r="M58" i="19"/>
  <c r="AB58" i="19"/>
  <c r="AB57" i="19"/>
  <c r="Y59" i="19"/>
  <c r="K59" i="19"/>
  <c r="Z59" i="19"/>
  <c r="L59" i="19"/>
  <c r="J96" i="19"/>
  <c r="Y59" i="18"/>
  <c r="K59" i="18"/>
  <c r="Z59" i="18"/>
  <c r="L59" i="18"/>
  <c r="AA59" i="18"/>
  <c r="J96" i="18"/>
  <c r="AI58" i="1"/>
  <c r="L58" i="1"/>
  <c r="AJ58" i="1"/>
  <c r="M58" i="1"/>
  <c r="K95" i="1"/>
  <c r="AH60" i="1"/>
  <c r="J97" i="1"/>
  <c r="M58" i="18"/>
  <c r="M95" i="19"/>
  <c r="N95" i="19"/>
  <c r="N58" i="1"/>
  <c r="AK58" i="1"/>
  <c r="N58" i="19"/>
  <c r="M59" i="18"/>
  <c r="N59" i="18"/>
  <c r="L96" i="19"/>
  <c r="L96" i="18"/>
  <c r="J61" i="1"/>
  <c r="M95" i="1"/>
  <c r="J60" i="19"/>
  <c r="N58" i="18"/>
  <c r="AB58" i="18"/>
  <c r="M95" i="18"/>
  <c r="N95" i="18"/>
  <c r="K96" i="19"/>
  <c r="K59" i="1"/>
  <c r="L95" i="1"/>
  <c r="J60" i="18"/>
  <c r="K96" i="18"/>
  <c r="AA59" i="19"/>
  <c r="M59" i="19"/>
  <c r="N59" i="19"/>
  <c r="N95" i="1"/>
  <c r="Y60" i="18"/>
  <c r="K60" i="18"/>
  <c r="J97" i="18"/>
  <c r="Y60" i="19"/>
  <c r="K60" i="19"/>
  <c r="J97" i="19"/>
  <c r="M96" i="18"/>
  <c r="N96" i="18"/>
  <c r="AB59" i="18"/>
  <c r="AI59" i="1"/>
  <c r="L59" i="1"/>
  <c r="K96" i="1"/>
  <c r="AH61" i="1"/>
  <c r="P61" i="1"/>
  <c r="J62" i="1"/>
  <c r="AH30" i="1" a="1"/>
  <c r="AH30" i="1"/>
  <c r="J98" i="1"/>
  <c r="AB59" i="19"/>
  <c r="M96" i="19"/>
  <c r="N96" i="19"/>
  <c r="L96" i="1"/>
  <c r="AI30" i="1"/>
  <c r="AJ59" i="1"/>
  <c r="M59" i="1"/>
  <c r="Z60" i="19"/>
  <c r="L60" i="19"/>
  <c r="AA60" i="19"/>
  <c r="K97" i="18"/>
  <c r="N60" i="18"/>
  <c r="K60" i="1"/>
  <c r="J61" i="19"/>
  <c r="AA60" i="18"/>
  <c r="M60" i="18"/>
  <c r="K97" i="19"/>
  <c r="AH62" i="1"/>
  <c r="P62" i="1"/>
  <c r="J61" i="18"/>
  <c r="Z60" i="18"/>
  <c r="L60" i="18"/>
  <c r="M60" i="19"/>
  <c r="N60" i="19"/>
  <c r="Y61" i="18"/>
  <c r="J62" i="18"/>
  <c r="Y30" i="18" a="1"/>
  <c r="Y30" i="18"/>
  <c r="J98" i="18"/>
  <c r="M97" i="18"/>
  <c r="AI60" i="1"/>
  <c r="L60" i="1"/>
  <c r="AJ60" i="1"/>
  <c r="K97" i="1"/>
  <c r="M96" i="1"/>
  <c r="N96" i="1"/>
  <c r="Y61" i="19"/>
  <c r="J62" i="19"/>
  <c r="Y30" i="19" a="1"/>
  <c r="Y30" i="19"/>
  <c r="J98" i="19"/>
  <c r="L97" i="18"/>
  <c r="N97" i="18"/>
  <c r="AB60" i="18"/>
  <c r="AK59" i="1"/>
  <c r="N59" i="1"/>
  <c r="L97" i="19"/>
  <c r="M97" i="19"/>
  <c r="N97" i="19"/>
  <c r="AB60" i="19"/>
  <c r="M60" i="1"/>
  <c r="N60" i="1"/>
  <c r="Z30" i="19"/>
  <c r="K61" i="19"/>
  <c r="Y62" i="19"/>
  <c r="K61" i="1"/>
  <c r="K61" i="18"/>
  <c r="Y62" i="18"/>
  <c r="L97" i="1"/>
  <c r="Z30" i="18"/>
  <c r="M97" i="1"/>
  <c r="N97" i="1"/>
  <c r="AK60" i="1"/>
  <c r="K62" i="19"/>
  <c r="Y31" i="19" a="1"/>
  <c r="Y31" i="19"/>
  <c r="K98" i="19"/>
  <c r="Z61" i="19"/>
  <c r="Q61" i="1"/>
  <c r="K62" i="1"/>
  <c r="AI61" i="1"/>
  <c r="AH31" i="1" a="1"/>
  <c r="AH31" i="1"/>
  <c r="K98" i="1"/>
  <c r="K62" i="18"/>
  <c r="Y31" i="18" a="1"/>
  <c r="Y31" i="18"/>
  <c r="K98" i="18"/>
  <c r="Z61" i="18"/>
  <c r="Q62" i="1"/>
  <c r="Z31" i="18"/>
  <c r="L61" i="19"/>
  <c r="Z62" i="19"/>
  <c r="L61" i="1"/>
  <c r="AI62" i="1"/>
  <c r="AI31" i="1"/>
  <c r="Z31" i="19"/>
  <c r="L61" i="18"/>
  <c r="Z62" i="18"/>
  <c r="L62" i="18"/>
  <c r="Y33" i="18" a="1"/>
  <c r="Y33" i="18"/>
  <c r="L98" i="18"/>
  <c r="AA61" i="18"/>
  <c r="R61" i="1"/>
  <c r="L62" i="1"/>
  <c r="AH33" i="1" a="1"/>
  <c r="AH33" i="1"/>
  <c r="L98" i="1"/>
  <c r="AJ61" i="1"/>
  <c r="L62" i="19"/>
  <c r="Y33" i="19" a="1"/>
  <c r="Y33" i="19"/>
  <c r="L98" i="19"/>
  <c r="AA61" i="19"/>
  <c r="M61" i="19"/>
  <c r="AA62" i="19"/>
  <c r="M61" i="1"/>
  <c r="AJ62" i="1"/>
  <c r="AI33" i="1"/>
  <c r="M61" i="18"/>
  <c r="AA62" i="18"/>
  <c r="Z33" i="19"/>
  <c r="R62" i="1"/>
  <c r="Z33" i="18"/>
  <c r="M62" i="18"/>
  <c r="Y34" i="18" a="1"/>
  <c r="Y34" i="18"/>
  <c r="M98" i="18"/>
  <c r="N98" i="18"/>
  <c r="AB61" i="18"/>
  <c r="AB62" i="18"/>
  <c r="N61" i="18"/>
  <c r="N62" i="18"/>
  <c r="S61" i="1"/>
  <c r="M62" i="1"/>
  <c r="AH34" i="1" a="1"/>
  <c r="AH34" i="1"/>
  <c r="M98" i="1"/>
  <c r="N98" i="1"/>
  <c r="AK61" i="1"/>
  <c r="AK62" i="1"/>
  <c r="N61" i="1"/>
  <c r="N62" i="1"/>
  <c r="M62" i="19"/>
  <c r="M98" i="19"/>
  <c r="N98" i="19"/>
  <c r="Y34" i="19" a="1"/>
  <c r="Y34" i="19"/>
  <c r="N61" i="19"/>
  <c r="N62" i="19"/>
  <c r="AB61" i="19"/>
  <c r="AB62" i="19"/>
  <c r="S62" i="1"/>
  <c r="T61" i="1"/>
  <c r="T62" i="1"/>
  <c r="Z34" i="18"/>
  <c r="Z35" i="18"/>
  <c r="AB7" i="18"/>
  <c r="Y35" i="18"/>
  <c r="AI34" i="1"/>
  <c r="AI35" i="1"/>
  <c r="AK7" i="1"/>
  <c r="AH35" i="1"/>
  <c r="Z34" i="19"/>
  <c r="Z35" i="19"/>
  <c r="AB7" i="19"/>
  <c r="Y35" i="19"/>
</calcChain>
</file>

<file path=xl/comments1.xml><?xml version="1.0" encoding="utf-8"?>
<comments xmlns="http://schemas.openxmlformats.org/spreadsheetml/2006/main">
  <authors>
    <author>Sally A. Mead</author>
    <author>Nancy Jane Walters</author>
    <author>DK</author>
  </authors>
  <commentList>
    <comment ref="B24" authorId="0">
      <text>
        <r>
          <rPr>
            <b/>
            <sz val="8"/>
            <color indexed="81"/>
            <rFont val="Tahoma"/>
            <family val="2"/>
          </rPr>
          <t>Fill in only one of these two boxes.</t>
        </r>
      </text>
    </comment>
    <comment ref="H25" authorId="1">
      <text>
        <r>
          <rPr>
            <b/>
            <sz val="8"/>
            <color indexed="81"/>
            <rFont val="Tahoma"/>
            <family val="2"/>
          </rPr>
          <t xml:space="preserve">The X factor is derived if not entered in cell D18
</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 xml:space="preserve">Is the funding source subject to the NIH Cap?
See list of applicable caps, above, right.
</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 in cell D18</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I32" authorId="0">
      <text>
        <r>
          <rPr>
            <b/>
            <sz val="8"/>
            <color indexed="81"/>
            <rFont val="Tahoma"/>
            <family val="2"/>
          </rPr>
          <t>Fill in only one of the four boxes at the right, based on individual's approved title.</t>
        </r>
        <r>
          <rPr>
            <sz val="8"/>
            <color indexed="81"/>
            <rFont val="Tahoma"/>
            <family val="2"/>
          </rPr>
          <t xml:space="preserve">
</t>
        </r>
      </text>
    </comment>
    <comment ref="J32" authorId="0">
      <text>
        <r>
          <rPr>
            <b/>
            <sz val="8"/>
            <color indexed="81"/>
            <rFont val="Tahoma"/>
            <family val="2"/>
          </rPr>
          <t>Enter approved base amount for Instructor.</t>
        </r>
        <r>
          <rPr>
            <sz val="8"/>
            <color indexed="81"/>
            <rFont val="Tahoma"/>
            <family val="2"/>
          </rPr>
          <t xml:space="preserve">
</t>
        </r>
      </text>
    </comment>
    <comment ref="J33" authorId="0">
      <text>
        <r>
          <rPr>
            <b/>
            <sz val="8"/>
            <color indexed="81"/>
            <rFont val="Tahoma"/>
            <family val="2"/>
          </rPr>
          <t xml:space="preserve">Enter Approved Base Amount for Assistant Professor.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J34" authorId="0">
      <text>
        <r>
          <rPr>
            <b/>
            <sz val="8"/>
            <color indexed="81"/>
            <rFont val="Tahoma"/>
            <family val="2"/>
          </rPr>
          <t xml:space="preserve">Enter Approved Base Amount for Associate Professor.
</t>
        </r>
        <r>
          <rPr>
            <sz val="8"/>
            <color indexed="81"/>
            <rFont val="Tahoma"/>
            <family val="2"/>
          </rPr>
          <t xml:space="preserve">
</t>
        </r>
      </text>
    </comment>
    <comment ref="J35" authorId="0">
      <text>
        <r>
          <rPr>
            <b/>
            <sz val="8"/>
            <color indexed="81"/>
            <rFont val="Tahoma"/>
            <family val="2"/>
          </rPr>
          <t>Enter Approved Base Amount for Full Professor.</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Is the funding source subject to the NIH Cap?
Refer to list of applicable caps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E35" authorId="0">
      <text>
        <r>
          <rPr>
            <b/>
            <sz val="8"/>
            <color indexed="81"/>
            <rFont val="Tahoma"/>
            <family val="2"/>
          </rPr>
          <t>Enter the Approved Above Annual Base Salary Here, rounded to the nearest 100 dollars.</t>
        </r>
      </text>
    </comment>
    <comment ref="I38" authorId="0">
      <text>
        <r>
          <rPr>
            <b/>
            <sz val="8"/>
            <color indexed="81"/>
            <rFont val="Tahoma"/>
            <family val="2"/>
          </rPr>
          <t xml:space="preserve">Prorated by Total Percent Time entered in Cell D20
</t>
        </r>
        <r>
          <rPr>
            <sz val="8"/>
            <color indexed="81"/>
            <rFont val="Tahoma"/>
            <family val="2"/>
          </rPr>
          <t xml:space="preserve">
</t>
        </r>
      </text>
    </comment>
    <comment ref="A40" authorId="2">
      <text>
        <r>
          <rPr>
            <b/>
            <sz val="8"/>
            <color indexed="81"/>
            <rFont val="Tahoma"/>
            <family val="2"/>
          </rPr>
          <t>Is the funding source subject to the NIH Cap?
Enter an applicable salary cap (see list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<sst xmlns="http://schemas.openxmlformats.org/spreadsheetml/2006/main" count="712" uniqueCount="212">
  <si>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</si>
  <si>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</si>
  <si>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</si>
  <si>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</si>
  <si>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</si>
  <si>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</si>
  <si>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</si>
  <si>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</si>
  <si>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</si>
  <si>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</si>
  <si>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</si>
  <si>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</si>
  <si>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</si>
  <si>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</si>
  <si>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</si>
  <si>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</si>
  <si>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</si>
  <si>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</si>
  <si>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</si>
  <si>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</si>
  <si>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</si>
  <si>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</si>
  <si>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</si>
  <si>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</si>
  <si>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</si>
  <si>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</si>
  <si>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</si>
  <si>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</si>
  <si>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</si>
  <si>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</si>
  <si>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</si>
  <si>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</si>
  <si>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</si>
  <si>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</si>
  <si>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</si>
  <si>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</si>
  <si>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</si>
  <si>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</si>
  <si>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</si>
  <si>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</si>
  <si>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</si>
  <si>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</si>
  <si>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</si>
  <si>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</si>
  <si>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</si>
  <si>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</si>
  <si>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</si>
  <si>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</si>
  <si>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</si>
  <si>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</si>
  <si>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</si>
  <si>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Fund 
Number</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</si>
  <si>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</si>
  <si>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</si>
  <si>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</si>
  <si>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</si>
  <si>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</si>
  <si>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</si>
  <si>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</si>
  <si>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</si>
  <si>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</si>
  <si>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</si>
  <si>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</si>
  <si>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</si>
  <si>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</si>
  <si>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</si>
  <si>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</si>
  <si>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</si>
  <si>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</si>
  <si>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</si>
  <si>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</si>
  <si>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</si>
  <si>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</si>
  <si>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</si>
  <si>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</si>
  <si>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</si>
  <si>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</si>
  <si>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</si>
  <si>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</si>
  <si>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</si>
  <si>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</si>
  <si>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</si>
  <si>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</si>
  <si>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</si>
  <si>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</si>
  <si>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</si>
  <si>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</si>
  <si>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</si>
  <si>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</si>
  <si>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</si>
  <si>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</si>
  <si>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</si>
  <si>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</si>
  <si>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</si>
  <si>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</si>
  <si>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</si>
  <si>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</si>
  <si>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</si>
  <si>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</si>
  <si>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</si>
  <si>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</si>
  <si>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</si>
  <si>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</si>
  <si>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</si>
  <si>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</si>
  <si>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</si>
  <si>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rPr>
      <t xml:space="preserve"> increase.</t>
    </r>
  </si>
  <si>
    <r>
      <t xml:space="preserve">     Option 2:</t>
    </r>
    <r>
      <rPr>
        <sz val="10"/>
        <rFont val="Arial"/>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</si>
  <si>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</si>
  <si>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</si>
  <si>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</si>
  <si>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</si>
  <si>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</si>
  <si>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</si>
  <si>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</si>
  <si>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</si>
  <si>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</si>
  <si>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</si>
  <si>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</si>
  <si>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</si>
  <si>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</si>
  <si>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</si>
  <si>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rPr>
      <t xml:space="preserve"> Above Scale Merits</t>
    </r>
    <r>
      <rPr>
        <b/>
        <sz val="10"/>
        <rFont val="Arial"/>
        <family val="2"/>
      </rPr>
      <t>:</t>
    </r>
    <r>
      <rPr>
        <sz val="10"/>
        <rFont val="Arial"/>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</si>
  <si>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</si>
  <si>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</si>
  <si>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</si>
  <si>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</si>
  <si>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</si>
  <si>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</si>
  <si>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</si>
  <si>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Program Code</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</si>
  <si>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</si>
  <si>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</si>
  <si>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</si>
  <si>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</si>
  <si>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</si>
  <si>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</si>
  <si>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</si>
  <si>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</si>
  <si>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</si>
  <si>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</si>
  <si>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</si>
  <si>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</si>
  <si>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</si>
  <si>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</si>
  <si>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</si>
  <si>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</si>
  <si>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</si>
  <si>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</si>
  <si>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</si>
  <si>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</si>
  <si>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</si>
  <si>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t>DPA Number</t>
  </si>
  <si>
    <t>Salary Calculations for HSCP Faculty</t>
  </si>
  <si>
    <r>
      <t xml:space="preserve">FY2009 NIH Salary Cap 01/01/10 - </t>
    </r>
    <r>
      <rPr>
        <sz val="10"/>
        <rFont val="Arial"/>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</si>
  <si>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</si>
  <si>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</si>
  <si>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</si>
  <si>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</si>
  <si>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</si>
  <si>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</si>
  <si>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</si>
  <si>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</si>
  <si>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</si>
  <si>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</si>
  <si>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</si>
  <si>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</si>
  <si>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</si>
  <si>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</si>
  <si>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</si>
  <si>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</si>
  <si>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</si>
  <si>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</si>
  <si>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</si>
  <si>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</si>
  <si>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</si>
  <si>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On and after 12/23/2011</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</si>
  <si>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</si>
  <si>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</si>
  <si>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</si>
  <si>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</si>
  <si>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</si>
  <si>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</si>
  <si>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</si>
  <si>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Payroll Reduction/Adjuctment</t>
  </si>
  <si>
    <t>$199,700</t>
  </si>
  <si>
    <t>$199,700 
($179,700 will apply to subsequent budget periods)</t>
  </si>
  <si>
    <t>$179,700</t>
  </si>
  <si>
    <t>Mail links:</t>
  </si>
  <si>
    <t>FY2012 NIH Salary Cap 12/23/11-Forward</t>
  </si>
  <si>
    <t>Note added February 2, 2012</t>
  </si>
  <si>
    <t>Salary Calculation Worksheet for HSCP Faculty</t>
  </si>
  <si>
    <t>FY2012 CIRM Salary Cap 07/01/12-06/30/14</t>
  </si>
  <si>
    <r>
      <rPr>
        <b/>
        <sz val="14"/>
        <rFont val="Arial"/>
        <family val="2"/>
      </rPr>
      <t>Effective 07/01/13 Forward</t>
    </r>
  </si>
  <si>
    <t>HSCP Salary Scales as revised July 1, 2013</t>
  </si>
  <si>
    <t>v. 07/09/13</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</si>
  <si>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</si>
  <si>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</si>
  <si>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</si>
  <si>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</si>
  <si>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</si>
  <si>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</si>
  <si>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</si>
  <si>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</si>
  <si>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</si>
  <si>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</si>
  <si>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v. 08/12/13</t>
  </si>
  <si>
    <t>Revised for Above Scale Policy Limits and Targets</t>
  </si>
  <si>
    <t>Jane Doe</t>
  </si>
  <si>
    <t>012345678</t>
  </si>
  <si>
    <t>Jane Above Scale</t>
  </si>
  <si>
    <t>Doe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</si>
</sst>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s>
  <fonts count="46"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i/>
      <sz val="9"/>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b/>
      <i/>
      <sz val="10"/>
      <name val="Arial"/>
      <family val="2"/>
    </font>
    <font>
      <sz val="10"/>
      <name val="Arial"/>
      <family val="2"/>
    </font>
    <font>
      <sz val="10"/>
      <color rgb="FFFF0000"/>
      <name val="Arial"/>
      <family val="2"/>
    </font>
    <font>
      <b/>
      <sz val="10"/>
      <color rgb="FFFF0000"/>
      <name val="Arial"/>
      <family val="2"/>
    </font>
    <font>
      <i/>
      <sz val="9"/>
      <color rgb="FFFF0000"/>
      <name val="Arial"/>
    </font>
  </fonts>
  <fills count="14">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CCFFFF"/>
        <bgColor indexed="64"/>
      </patternFill>
    </fill>
  </fills>
  <borders count="1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double">
        <color auto="1"/>
      </left>
      <right style="double">
        <color auto="1"/>
      </right>
      <top style="double">
        <color auto="1"/>
      </top>
      <bottom style="thick">
        <color auto="1"/>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style="double">
        <color auto="1"/>
      </left>
      <right style="double">
        <color auto="1"/>
      </right>
      <top/>
      <bottom style="thin">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double">
        <color auto="1"/>
      </left>
      <right style="double">
        <color auto="1"/>
      </right>
      <top/>
      <bottom style="thick">
        <color auto="1"/>
      </bottom>
      <diagonal/>
    </border>
    <border>
      <left style="double">
        <color auto="1"/>
      </left>
      <right style="double">
        <color auto="1"/>
      </right>
      <top style="thin">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bottom style="double">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s>
  <cellStyleXfs count="51">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44" fontId="42" fillId="0" borderId="0" applyFont="0" applyFill="0" applyBorder="0" applyAlignment="0" applyProtection="0"/>
    <xf numFmtId="0" fontId="39" fillId="0" borderId="0" applyNumberFormat="0" applyFill="0" applyBorder="0" applyAlignment="0" applyProtection="0"/>
  </cellStyleXfs>
  <cellXfs count="727">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Continuous"/>
    </xf>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2" fontId="2" fillId="0" borderId="49" xfId="0" applyNumberFormat="1" applyFont="1" applyBorder="1" applyAlignment="1">
      <alignment horizontal="right"/>
    </xf>
    <xf numFmtId="2" fontId="2" fillId="0" borderId="50" xfId="0" applyNumberFormat="1" applyFon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2" fillId="0" borderId="53" xfId="0" applyFont="1" applyBorder="1"/>
    <xf numFmtId="0" fontId="2" fillId="0" borderId="54" xfId="0" applyFont="1" applyBorder="1"/>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0" fontId="2" fillId="0" borderId="50" xfId="0"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0" fontId="2" fillId="0" borderId="59" xfId="0" applyFont="1" applyBorder="1"/>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60" xfId="0" applyNumberFormat="1" applyBorder="1" applyAlignment="1">
      <alignment horizontal="center"/>
    </xf>
    <xf numFmtId="0" fontId="0" fillId="0" borderId="61"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2" xfId="0" applyFill="1" applyBorder="1"/>
    <xf numFmtId="0" fontId="0" fillId="3" borderId="0" xfId="0" applyFill="1" applyBorder="1" applyAlignment="1">
      <alignment horizontal="center"/>
    </xf>
    <xf numFmtId="0" fontId="0" fillId="3" borderId="63" xfId="0" applyFill="1" applyBorder="1"/>
    <xf numFmtId="0" fontId="0" fillId="3" borderId="64" xfId="0" applyFill="1" applyBorder="1" applyAlignment="1">
      <alignment horizontal="center"/>
    </xf>
    <xf numFmtId="0" fontId="0" fillId="3" borderId="65"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2"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5"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6"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7" xfId="0" applyNumberFormat="1" applyBorder="1" applyAlignment="1">
      <alignment horizontal="right"/>
    </xf>
    <xf numFmtId="2" fontId="0" fillId="0" borderId="1" xfId="0" applyNumberFormat="1" applyBorder="1" applyAlignment="1">
      <alignment horizontal="right"/>
    </xf>
    <xf numFmtId="0" fontId="2" fillId="0" borderId="25" xfId="0" applyFont="1" applyBorder="1" applyAlignment="1">
      <alignment horizontal="centerContinuous"/>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15" xfId="0" applyFont="1" applyBorder="1" applyAlignment="1">
      <alignment horizontal="center" wrapText="1"/>
    </xf>
    <xf numFmtId="0" fontId="2" fillId="0" borderId="68" xfId="0" applyFont="1" applyBorder="1" applyAlignment="1">
      <alignment horizontal="center" wrapText="1"/>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9" xfId="0" applyFont="1" applyBorder="1" applyAlignment="1">
      <alignment horizontal="center" wrapText="1"/>
    </xf>
    <xf numFmtId="0" fontId="2" fillId="0" borderId="70"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1"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2" fillId="0" borderId="18" xfId="0" applyFont="1" applyBorder="1" applyAlignment="1">
      <alignment horizontal="centerContinuous"/>
    </xf>
    <xf numFmtId="0" fontId="0" fillId="0" borderId="72"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3"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4" xfId="0" applyFill="1" applyBorder="1" applyAlignment="1">
      <alignment horizontal="center"/>
    </xf>
    <xf numFmtId="0" fontId="0" fillId="4" borderId="63" xfId="0" applyFill="1" applyBorder="1"/>
    <xf numFmtId="0" fontId="0" fillId="0" borderId="58" xfId="0" applyBorder="1" applyAlignment="1">
      <alignment horizontal="right"/>
    </xf>
    <xf numFmtId="0" fontId="0" fillId="0" borderId="39" xfId="0" applyBorder="1" applyAlignment="1">
      <alignment horizontal="left"/>
    </xf>
    <xf numFmtId="0" fontId="2" fillId="0" borderId="66" xfId="0" applyFont="1" applyBorder="1" applyAlignment="1">
      <alignment horizontal="centerContinuous"/>
    </xf>
    <xf numFmtId="2" fontId="2" fillId="0" borderId="69" xfId="0" applyNumberFormat="1" applyFont="1" applyBorder="1" applyAlignment="1">
      <alignment horizontal="right"/>
    </xf>
    <xf numFmtId="2" fontId="2" fillId="0" borderId="62" xfId="0" applyNumberFormat="1" applyFont="1" applyBorder="1" applyAlignment="1">
      <alignment horizontal="right"/>
    </xf>
    <xf numFmtId="0" fontId="2" fillId="0" borderId="74" xfId="0" applyFont="1" applyBorder="1" applyAlignment="1">
      <alignment horizontal="centerContinuous"/>
    </xf>
    <xf numFmtId="0" fontId="0" fillId="0" borderId="62"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5" xfId="0" applyFont="1" applyFill="1" applyBorder="1" applyAlignment="1">
      <alignment horizontal="center" vertical="center" wrapText="1"/>
    </xf>
    <xf numFmtId="0" fontId="0" fillId="5" borderId="72"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2"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0" fontId="2" fillId="0" borderId="64" xfId="0" applyFont="1" applyBorder="1" applyAlignment="1">
      <alignment horizontal="center"/>
    </xf>
    <xf numFmtId="2" fontId="2" fillId="0" borderId="64" xfId="0" applyNumberFormat="1" applyFont="1" applyBorder="1"/>
    <xf numFmtId="164" fontId="12" fillId="0" borderId="14" xfId="0" applyNumberFormat="1" applyFont="1" applyFill="1" applyBorder="1" applyAlignment="1">
      <alignment horizontal="center"/>
    </xf>
    <xf numFmtId="164" fontId="2" fillId="0" borderId="70" xfId="0" applyNumberFormat="1" applyFont="1" applyBorder="1" applyAlignment="1">
      <alignment horizontal="center"/>
    </xf>
    <xf numFmtId="164" fontId="2" fillId="0" borderId="76" xfId="0" applyNumberFormat="1" applyFont="1" applyBorder="1" applyAlignment="1">
      <alignment horizontal="center"/>
    </xf>
    <xf numFmtId="164" fontId="2" fillId="0" borderId="50" xfId="0" applyNumberFormat="1" applyFont="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60"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1" xfId="0" applyFont="1" applyBorder="1" applyAlignment="1"/>
    <xf numFmtId="0" fontId="0" fillId="3" borderId="17" xfId="0" applyFill="1" applyBorder="1"/>
    <xf numFmtId="0" fontId="0" fillId="3" borderId="64" xfId="0" applyFill="1" applyBorder="1"/>
    <xf numFmtId="0" fontId="0" fillId="0" borderId="77"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9"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6"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70" xfId="0" applyFill="1" applyBorder="1" applyAlignment="1">
      <alignment horizontal="center"/>
    </xf>
    <xf numFmtId="0" fontId="0" fillId="6" borderId="64" xfId="0" applyFill="1" applyBorder="1" applyAlignment="1">
      <alignment horizontal="center"/>
    </xf>
    <xf numFmtId="0" fontId="0" fillId="6" borderId="76"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9"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80" xfId="0" applyBorder="1"/>
    <xf numFmtId="0" fontId="0" fillId="0" borderId="78"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0" fontId="28" fillId="0" borderId="0" xfId="0" applyFont="1" applyBorder="1"/>
    <xf numFmtId="3" fontId="0" fillId="7" borderId="1" xfId="0" applyNumberFormat="1" applyFill="1" applyBorder="1" applyProtection="1">
      <protection locked="0"/>
    </xf>
    <xf numFmtId="0" fontId="9" fillId="7" borderId="81" xfId="0" applyFont="1" applyFill="1" applyBorder="1" applyAlignment="1" applyProtection="1">
      <alignment horizontal="center"/>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2" xfId="0" applyFont="1" applyFill="1" applyBorder="1" applyAlignment="1" applyProtection="1">
      <alignment horizontal="left"/>
      <protection locked="0"/>
    </xf>
    <xf numFmtId="0" fontId="2" fillId="7" borderId="67" xfId="0" applyFont="1" applyFill="1" applyBorder="1" applyProtection="1">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0" fontId="2" fillId="7" borderId="1" xfId="0" applyFont="1" applyFill="1" applyBorder="1" applyAlignment="1" applyProtection="1">
      <alignment horizontal="center"/>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58" xfId="0" applyNumberFormat="1" applyFill="1" applyBorder="1"/>
    <xf numFmtId="3" fontId="0" fillId="3" borderId="18" xfId="0" applyNumberFormat="1" applyFill="1" applyBorder="1"/>
    <xf numFmtId="3" fontId="0" fillId="3" borderId="19" xfId="0" applyNumberFormat="1" applyFill="1" applyBorder="1"/>
    <xf numFmtId="3" fontId="0" fillId="3" borderId="20" xfId="0" applyNumberFormat="1" applyFill="1" applyBorder="1"/>
    <xf numFmtId="3" fontId="0" fillId="0" borderId="57" xfId="0" applyNumberFormat="1" applyBorder="1"/>
    <xf numFmtId="3" fontId="0" fillId="0" borderId="48" xfId="0" applyNumberFormat="1" applyBorder="1"/>
    <xf numFmtId="3" fontId="0" fillId="0" borderId="67" xfId="0" applyNumberFormat="1" applyBorder="1"/>
    <xf numFmtId="3" fontId="0" fillId="0" borderId="68" xfId="0" applyNumberFormat="1" applyBorder="1"/>
    <xf numFmtId="3" fontId="0" fillId="0" borderId="54" xfId="0" applyNumberFormat="1" applyBorder="1"/>
    <xf numFmtId="3" fontId="0" fillId="0" borderId="63" xfId="0" applyNumberFormat="1" applyBorder="1"/>
    <xf numFmtId="3" fontId="0" fillId="0" borderId="65" xfId="0" applyNumberFormat="1" applyBorder="1"/>
    <xf numFmtId="3" fontId="0" fillId="0" borderId="38" xfId="0" applyNumberFormat="1" applyBorder="1"/>
    <xf numFmtId="3" fontId="0" fillId="6" borderId="63" xfId="0" applyNumberFormat="1" applyFill="1" applyBorder="1"/>
    <xf numFmtId="3" fontId="0" fillId="6" borderId="7" xfId="0" applyNumberFormat="1" applyFill="1" applyBorder="1"/>
    <xf numFmtId="3" fontId="0" fillId="6" borderId="1" xfId="0" applyNumberFormat="1" applyFill="1" applyBorder="1"/>
    <xf numFmtId="3" fontId="0" fillId="6" borderId="38" xfId="0" applyNumberFormat="1" applyFill="1" applyBorder="1"/>
    <xf numFmtId="3" fontId="0" fillId="6" borderId="79" xfId="0" applyNumberFormat="1" applyFill="1" applyBorder="1"/>
    <xf numFmtId="3" fontId="0" fillId="6" borderId="46" xfId="0" applyNumberFormat="1" applyFill="1" applyBorder="1"/>
    <xf numFmtId="3" fontId="0" fillId="6" borderId="4" xfId="0" applyNumberFormat="1" applyFill="1" applyBorder="1"/>
    <xf numFmtId="3" fontId="0" fillId="6" borderId="54" xfId="0" applyNumberFormat="1" applyFill="1" applyBorder="1"/>
    <xf numFmtId="3" fontId="0" fillId="3" borderId="62" xfId="0" applyNumberFormat="1" applyFill="1" applyBorder="1"/>
    <xf numFmtId="3" fontId="0" fillId="4" borderId="62" xfId="0" applyNumberFormat="1" applyFill="1" applyBorder="1"/>
    <xf numFmtId="3" fontId="0" fillId="4" borderId="83" xfId="0" applyNumberFormat="1" applyFill="1" applyBorder="1"/>
    <xf numFmtId="0" fontId="0" fillId="0" borderId="84" xfId="0" applyBorder="1"/>
    <xf numFmtId="0" fontId="0" fillId="0" borderId="84" xfId="0" applyBorder="1" applyAlignment="1">
      <alignment horizontal="center"/>
    </xf>
    <xf numFmtId="0" fontId="0" fillId="0" borderId="85" xfId="0"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0" fillId="0" borderId="86" xfId="0" applyBorder="1"/>
    <xf numFmtId="0" fontId="0" fillId="0" borderId="85" xfId="0" applyBorder="1"/>
    <xf numFmtId="0" fontId="0" fillId="0" borderId="87" xfId="0" applyBorder="1"/>
    <xf numFmtId="0" fontId="0" fillId="3" borderId="0" xfId="0" applyFill="1" applyBorder="1"/>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6" fillId="8" borderId="1" xfId="0" applyFont="1" applyFill="1" applyBorder="1" applyAlignment="1">
      <alignment horizontal="center"/>
    </xf>
    <xf numFmtId="0" fontId="36" fillId="8" borderId="1" xfId="0" applyNumberFormat="1" applyFont="1" applyFill="1" applyBorder="1" applyAlignment="1">
      <alignment horizontal="center" wrapText="1"/>
    </xf>
    <xf numFmtId="0" fontId="2" fillId="8" borderId="68" xfId="0" applyFont="1" applyFill="1" applyBorder="1" applyAlignment="1">
      <alignment horizontal="centerContinuous" wrapText="1"/>
    </xf>
    <xf numFmtId="0" fontId="2" fillId="0" borderId="66"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166" fontId="1" fillId="3" borderId="98" xfId="1" applyNumberFormat="1" applyFont="1" applyFill="1" applyBorder="1"/>
    <xf numFmtId="3" fontId="1" fillId="0" borderId="99" xfId="0" applyNumberFormat="1" applyFont="1" applyBorder="1"/>
    <xf numFmtId="3" fontId="1" fillId="3" borderId="100" xfId="0" applyNumberFormat="1" applyFont="1" applyFill="1" applyBorder="1"/>
    <xf numFmtId="3" fontId="1" fillId="3" borderId="101" xfId="0" applyNumberFormat="1" applyFont="1" applyFill="1" applyBorder="1"/>
    <xf numFmtId="3" fontId="1" fillId="3" borderId="99" xfId="0" applyNumberFormat="1" applyFont="1" applyFill="1" applyBorder="1"/>
    <xf numFmtId="3" fontId="1" fillId="9" borderId="101" xfId="0" applyNumberFormat="1" applyFont="1" applyFill="1" applyBorder="1"/>
    <xf numFmtId="3" fontId="1" fillId="6" borderId="99" xfId="0" applyNumberFormat="1" applyFont="1" applyFill="1" applyBorder="1"/>
    <xf numFmtId="166" fontId="1" fillId="3" borderId="102" xfId="1" applyNumberFormat="1" applyFont="1" applyFill="1" applyBorder="1"/>
    <xf numFmtId="3" fontId="1" fillId="0" borderId="103" xfId="0" applyNumberFormat="1" applyFont="1" applyBorder="1"/>
    <xf numFmtId="3" fontId="1" fillId="3" borderId="104" xfId="0" applyNumberFormat="1" applyFont="1" applyFill="1" applyBorder="1"/>
    <xf numFmtId="3" fontId="1" fillId="3" borderId="37" xfId="0" applyNumberFormat="1" applyFont="1" applyFill="1" applyBorder="1"/>
    <xf numFmtId="3" fontId="1" fillId="3" borderId="103" xfId="0" applyNumberFormat="1" applyFont="1" applyFill="1" applyBorder="1"/>
    <xf numFmtId="3" fontId="1" fillId="9" borderId="37" xfId="0" applyNumberFormat="1" applyFont="1" applyFill="1" applyBorder="1"/>
    <xf numFmtId="3" fontId="1" fillId="6" borderId="103" xfId="0" applyNumberFormat="1" applyFont="1" applyFill="1" applyBorder="1"/>
    <xf numFmtId="166" fontId="1" fillId="3" borderId="105" xfId="1" applyNumberFormat="1" applyFont="1" applyFill="1" applyBorder="1"/>
    <xf numFmtId="166" fontId="1" fillId="3" borderId="106" xfId="1" applyNumberFormat="1" applyFont="1" applyFill="1" applyBorder="1"/>
    <xf numFmtId="3" fontId="1" fillId="0" borderId="80" xfId="0" applyNumberFormat="1" applyFont="1" applyBorder="1"/>
    <xf numFmtId="3" fontId="1" fillId="3" borderId="107" xfId="0" applyNumberFormat="1" applyFont="1" applyFill="1" applyBorder="1"/>
    <xf numFmtId="3" fontId="1" fillId="3" borderId="108" xfId="0" applyNumberFormat="1" applyFont="1" applyFill="1" applyBorder="1"/>
    <xf numFmtId="3" fontId="1" fillId="3" borderId="80" xfId="0" applyNumberFormat="1" applyFont="1" applyFill="1" applyBorder="1"/>
    <xf numFmtId="3" fontId="1" fillId="9" borderId="108" xfId="0" applyNumberFormat="1" applyFont="1" applyFill="1" applyBorder="1"/>
    <xf numFmtId="3" fontId="1" fillId="6" borderId="80" xfId="0" applyNumberFormat="1" applyFont="1" applyFill="1" applyBorder="1"/>
    <xf numFmtId="166" fontId="1" fillId="3" borderId="109" xfId="1" applyNumberFormat="1" applyFont="1" applyFill="1" applyBorder="1"/>
    <xf numFmtId="3" fontId="1" fillId="0" borderId="110" xfId="0" applyNumberFormat="1" applyFont="1" applyBorder="1"/>
    <xf numFmtId="3" fontId="1" fillId="3" borderId="111" xfId="0" applyNumberFormat="1" applyFont="1" applyFill="1" applyBorder="1"/>
    <xf numFmtId="3" fontId="1" fillId="3" borderId="36" xfId="0" applyNumberFormat="1" applyFont="1" applyFill="1" applyBorder="1"/>
    <xf numFmtId="3" fontId="1" fillId="3" borderId="110" xfId="0" applyNumberFormat="1" applyFont="1" applyFill="1" applyBorder="1"/>
    <xf numFmtId="3" fontId="1" fillId="9" borderId="36" xfId="0" applyNumberFormat="1" applyFont="1" applyFill="1" applyBorder="1"/>
    <xf numFmtId="3" fontId="1" fillId="6" borderId="110" xfId="0" applyNumberFormat="1" applyFont="1" applyFill="1" applyBorder="1"/>
    <xf numFmtId="0" fontId="38"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40" fillId="10" borderId="112" xfId="0" applyFont="1" applyFill="1" applyBorder="1" applyAlignment="1">
      <alignment horizontal="center" vertical="center" wrapText="1"/>
    </xf>
    <xf numFmtId="0" fontId="40" fillId="10" borderId="113" xfId="0" applyFont="1" applyFill="1" applyBorder="1" applyAlignment="1">
      <alignment horizontal="center" vertical="center" wrapText="1"/>
    </xf>
    <xf numFmtId="0" fontId="40" fillId="10" borderId="114" xfId="0" applyFont="1" applyFill="1" applyBorder="1" applyAlignment="1">
      <alignment horizontal="center" vertical="center" wrapText="1"/>
    </xf>
    <xf numFmtId="0" fontId="40" fillId="0" borderId="115" xfId="0" applyFont="1" applyBorder="1" applyAlignment="1">
      <alignment horizontal="center" vertical="center" wrapText="1"/>
    </xf>
    <xf numFmtId="0" fontId="40" fillId="0" borderId="116" xfId="0" applyFont="1" applyBorder="1" applyAlignment="1">
      <alignment horizontal="center" vertical="center" wrapText="1"/>
    </xf>
    <xf numFmtId="6" fontId="40" fillId="0" borderId="116" xfId="0" applyNumberFormat="1" applyFont="1" applyBorder="1" applyAlignment="1">
      <alignment horizontal="center" vertical="center" wrapText="1"/>
    </xf>
    <xf numFmtId="0" fontId="40" fillId="0" borderId="113" xfId="0" applyFont="1" applyBorder="1" applyAlignment="1">
      <alignment horizontal="center" vertical="center" wrapText="1"/>
    </xf>
    <xf numFmtId="0" fontId="40" fillId="0" borderId="117"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9" xfId="0" applyFont="1" applyBorder="1" applyAlignment="1">
      <alignment horizontal="centerContinuous"/>
    </xf>
    <xf numFmtId="0" fontId="2" fillId="0" borderId="119"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0" fillId="0" borderId="0" xfId="0" applyNumberFormat="1" applyFill="1" applyBorder="1"/>
    <xf numFmtId="0" fontId="18" fillId="0" borderId="0" xfId="2" applyAlignment="1" applyProtection="1">
      <alignment horizontal="right"/>
    </xf>
    <xf numFmtId="0" fontId="28" fillId="0" borderId="0" xfId="0" applyFont="1"/>
    <xf numFmtId="0" fontId="15" fillId="0" borderId="0" xfId="0" applyFont="1" applyAlignment="1">
      <alignment vertical="top"/>
    </xf>
    <xf numFmtId="3" fontId="2" fillId="12" borderId="33" xfId="0" applyNumberFormat="1" applyFont="1" applyFill="1" applyBorder="1" applyProtection="1"/>
    <xf numFmtId="4" fontId="0" fillId="0" borderId="0" xfId="0" applyNumberFormat="1" applyBorder="1"/>
    <xf numFmtId="3" fontId="0" fillId="12" borderId="0" xfId="0" applyNumberFormat="1" applyFill="1" applyBorder="1"/>
    <xf numFmtId="0" fontId="1" fillId="12" borderId="0" xfId="0" applyFont="1" applyFill="1" applyBorder="1"/>
    <xf numFmtId="0" fontId="1" fillId="12"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2" borderId="82" xfId="1" applyNumberFormat="1" applyFont="1" applyFill="1" applyBorder="1" applyAlignment="1" applyProtection="1">
      <alignment horizontal="left"/>
      <protection locked="0"/>
    </xf>
    <xf numFmtId="0" fontId="0" fillId="12" borderId="48" xfId="0" applyFill="1" applyBorder="1"/>
    <xf numFmtId="0" fontId="0" fillId="12" borderId="65" xfId="0" applyFill="1" applyBorder="1"/>
    <xf numFmtId="0" fontId="0" fillId="12" borderId="12" xfId="0" applyFill="1" applyBorder="1"/>
    <xf numFmtId="0" fontId="0" fillId="12" borderId="67" xfId="0" applyFill="1" applyBorder="1"/>
    <xf numFmtId="3" fontId="0" fillId="12" borderId="1" xfId="0" applyNumberFormat="1" applyFill="1" applyBorder="1"/>
    <xf numFmtId="0" fontId="0" fillId="12" borderId="1" xfId="0" applyFill="1" applyBorder="1"/>
    <xf numFmtId="0" fontId="0" fillId="12" borderId="14" xfId="0" applyFill="1" applyBorder="1"/>
    <xf numFmtId="3" fontId="0" fillId="12" borderId="14" xfId="0" applyNumberFormat="1" applyFill="1" applyBorder="1"/>
    <xf numFmtId="0" fontId="0" fillId="12" borderId="68" xfId="0" applyFill="1" applyBorder="1"/>
    <xf numFmtId="3" fontId="0" fillId="12" borderId="38" xfId="0" applyNumberFormat="1" applyFill="1" applyBorder="1"/>
    <xf numFmtId="3" fontId="0" fillId="12" borderId="10" xfId="0" applyNumberFormat="1" applyFill="1" applyBorder="1"/>
    <xf numFmtId="0" fontId="1" fillId="0" borderId="30" xfId="0" applyFont="1" applyBorder="1" applyAlignment="1">
      <alignment horizontal="centerContinuous"/>
    </xf>
    <xf numFmtId="164" fontId="2" fillId="12"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3" borderId="1" xfId="0" applyNumberFormat="1" applyFont="1" applyFill="1" applyBorder="1" applyProtection="1">
      <protection locked="0"/>
    </xf>
    <xf numFmtId="164" fontId="43" fillId="0" borderId="60"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2" borderId="57" xfId="0" applyNumberFormat="1" applyFont="1" applyFill="1" applyBorder="1"/>
    <xf numFmtId="3" fontId="2" fillId="12" borderId="36" xfId="0" applyNumberFormat="1" applyFont="1" applyFill="1" applyBorder="1" applyProtection="1"/>
    <xf numFmtId="3" fontId="2" fillId="12" borderId="71" xfId="0" applyNumberFormat="1" applyFont="1" applyFill="1" applyBorder="1" applyAlignment="1"/>
    <xf numFmtId="171" fontId="44" fillId="0" borderId="0" xfId="49" applyNumberFormat="1" applyFont="1" applyFill="1" applyBorder="1"/>
    <xf numFmtId="0" fontId="43" fillId="0" borderId="0" xfId="0" applyFont="1" applyFill="1" applyBorder="1"/>
    <xf numFmtId="165" fontId="43" fillId="0" borderId="0" xfId="0" applyNumberFormat="1" applyFont="1" applyFill="1" applyBorder="1"/>
    <xf numFmtId="0" fontId="44" fillId="12" borderId="0" xfId="0" applyFont="1" applyFill="1" applyBorder="1"/>
    <xf numFmtId="0" fontId="45" fillId="0" borderId="0" xfId="0" applyFont="1"/>
    <xf numFmtId="2" fontId="43" fillId="0" borderId="0" xfId="0" applyNumberFormat="1" applyFont="1" applyBorder="1" applyAlignment="1">
      <alignment horizontal="right"/>
    </xf>
    <xf numFmtId="2" fontId="8" fillId="0" borderId="0" xfId="0" applyNumberFormat="1" applyFont="1" applyFill="1" applyBorder="1" applyAlignment="1" applyProtection="1">
      <alignment horizontal="right" indent="1"/>
    </xf>
    <xf numFmtId="0" fontId="18" fillId="0" borderId="0" xfId="2" applyAlignment="1" applyProtection="1">
      <alignment horizontal="left" vertical="top" wrapText="1"/>
    </xf>
    <xf numFmtId="0" fontId="0" fillId="0" borderId="0" xfId="0" applyAlignment="1"/>
    <xf numFmtId="0" fontId="18" fillId="0" borderId="0" xfId="2" applyAlignment="1" applyProtection="1">
      <alignment horizontal="left" vertical="center"/>
    </xf>
    <xf numFmtId="0" fontId="0" fillId="0" borderId="0" xfId="0" applyAlignment="1">
      <alignment horizontal="left"/>
    </xf>
    <xf numFmtId="49" fontId="2" fillId="0" borderId="2"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125" xfId="0" applyNumberFormat="1" applyFont="1" applyFill="1" applyBorder="1" applyAlignment="1">
      <alignment horizontal="center" vertical="center" wrapText="1"/>
    </xf>
    <xf numFmtId="49" fontId="2" fillId="0" borderId="42"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0" borderId="43" xfId="0" applyNumberFormat="1" applyFont="1" applyFill="1" applyBorder="1" applyAlignment="1">
      <alignment horizontal="center" vertical="center" wrapText="1"/>
    </xf>
    <xf numFmtId="49" fontId="2" fillId="0" borderId="81" xfId="0" applyNumberFormat="1" applyFont="1" applyFill="1" applyBorder="1" applyAlignment="1">
      <alignment horizontal="center" vertical="center" wrapText="1"/>
    </xf>
    <xf numFmtId="49" fontId="2" fillId="0" borderId="46"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76" xfId="0" applyNumberFormat="1" applyFont="1" applyFill="1" applyBorder="1" applyAlignment="1">
      <alignment horizontal="center" vertical="center" wrapText="1"/>
    </xf>
    <xf numFmtId="49" fontId="2" fillId="0" borderId="40" xfId="0" applyNumberFormat="1" applyFont="1" applyFill="1" applyBorder="1" applyAlignment="1">
      <alignment horizontal="center" vertical="center" wrapText="1"/>
    </xf>
    <xf numFmtId="49" fontId="2" fillId="0" borderId="47"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45" xfId="0" applyNumberFormat="1" applyFont="1" applyFill="1" applyBorder="1" applyAlignment="1">
      <alignment horizontal="center" vertical="center" wrapText="1"/>
    </xf>
    <xf numFmtId="49" fontId="2" fillId="0" borderId="69" xfId="0" applyNumberFormat="1" applyFont="1" applyFill="1" applyBorder="1" applyAlignment="1">
      <alignment horizontal="center" vertical="center" wrapText="1"/>
    </xf>
    <xf numFmtId="49" fontId="2" fillId="0" borderId="64" xfId="0" applyNumberFormat="1" applyFont="1" applyFill="1" applyBorder="1" applyAlignment="1">
      <alignment horizontal="center" vertical="center" wrapText="1"/>
    </xf>
    <xf numFmtId="49" fontId="2" fillId="0" borderId="1" xfId="0" quotePrefix="1"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74" xfId="0" applyNumberFormat="1" applyFont="1" applyFill="1" applyBorder="1" applyAlignment="1">
      <alignment horizontal="center" vertical="center" wrapText="1"/>
    </xf>
    <xf numFmtId="49" fontId="2" fillId="0" borderId="119" xfId="0" applyNumberFormat="1" applyFont="1" applyFill="1" applyBorder="1" applyAlignment="1">
      <alignment horizontal="center" vertical="center" wrapText="1"/>
    </xf>
    <xf numFmtId="49" fontId="2" fillId="0" borderId="60" xfId="0" applyNumberFormat="1" applyFont="1" applyFill="1" applyBorder="1" applyAlignment="1">
      <alignment horizontal="center" vertical="center" wrapText="1"/>
    </xf>
    <xf numFmtId="49" fontId="2" fillId="0" borderId="70" xfId="0" applyNumberFormat="1" applyFont="1" applyFill="1" applyBorder="1" applyAlignment="1">
      <alignment horizontal="center" vertical="center" wrapText="1"/>
    </xf>
    <xf numFmtId="49" fontId="2" fillId="0" borderId="2" xfId="0" quotePrefix="1" applyNumberFormat="1" applyFont="1" applyFill="1" applyBorder="1" applyAlignment="1">
      <alignment horizontal="center" vertical="center" wrapText="1"/>
    </xf>
    <xf numFmtId="49" fontId="2" fillId="0" borderId="6" xfId="0" quotePrefix="1" applyNumberFormat="1" applyFont="1" applyFill="1" applyBorder="1" applyAlignment="1">
      <alignment horizontal="center" vertical="center" wrapText="1"/>
    </xf>
    <xf numFmtId="49" fontId="36" fillId="11" borderId="48" xfId="0" applyNumberFormat="1" applyFont="1" applyFill="1" applyBorder="1" applyAlignment="1">
      <alignment horizontal="center" vertical="center" wrapText="1"/>
    </xf>
    <xf numFmtId="49" fontId="36" fillId="11" borderId="65" xfId="0" applyNumberFormat="1" applyFont="1" applyFill="1" applyBorder="1" applyAlignment="1">
      <alignment horizontal="center" vertical="center" wrapText="1"/>
    </xf>
    <xf numFmtId="49" fontId="36" fillId="11" borderId="122" xfId="0" applyNumberFormat="1" applyFont="1" applyFill="1" applyBorder="1" applyAlignment="1">
      <alignment horizontal="center" vertical="center" wrapText="1"/>
    </xf>
    <xf numFmtId="49" fontId="36" fillId="11" borderId="2" xfId="0" applyNumberFormat="1" applyFont="1" applyFill="1" applyBorder="1" applyAlignment="1">
      <alignment horizontal="center" vertical="center" wrapText="1"/>
    </xf>
    <xf numFmtId="49" fontId="2" fillId="0" borderId="11" xfId="0" applyNumberFormat="1" applyFont="1" applyFill="1" applyBorder="1" applyAlignment="1">
      <alignment horizontal="center" vertical="center" wrapText="1"/>
    </xf>
    <xf numFmtId="49" fontId="2" fillId="0" borderId="121" xfId="0" applyNumberFormat="1" applyFont="1" applyFill="1" applyBorder="1" applyAlignment="1">
      <alignment horizontal="center" vertical="center" wrapText="1"/>
    </xf>
    <xf numFmtId="49" fontId="2" fillId="0" borderId="67" xfId="0" applyNumberFormat="1" applyFont="1" applyFill="1" applyBorder="1" applyAlignment="1">
      <alignment horizontal="center" vertical="center" wrapText="1"/>
    </xf>
    <xf numFmtId="49" fontId="41" fillId="0" borderId="64" xfId="0" applyNumberFormat="1" applyFont="1" applyBorder="1" applyAlignment="1">
      <alignment horizontal="left" wrapText="1"/>
    </xf>
    <xf numFmtId="49" fontId="2" fillId="0" borderId="14" xfId="0" applyNumberFormat="1" applyFont="1" applyFill="1" applyBorder="1" applyAlignment="1">
      <alignment horizontal="center" vertical="center" wrapText="1"/>
    </xf>
    <xf numFmtId="0" fontId="37" fillId="3" borderId="27" xfId="0" applyFont="1" applyFill="1" applyBorder="1" applyAlignment="1">
      <alignment horizontal="center" vertical="center" wrapText="1"/>
    </xf>
    <xf numFmtId="14" fontId="2" fillId="7" borderId="95" xfId="0" applyNumberFormat="1" applyFont="1" applyFill="1" applyBorder="1" applyAlignment="1" applyProtection="1">
      <alignment horizontal="right"/>
      <protection locked="0"/>
    </xf>
    <xf numFmtId="0" fontId="0" fillId="7" borderId="96" xfId="0" applyFill="1" applyBorder="1" applyAlignment="1" applyProtection="1">
      <alignment horizontal="right"/>
      <protection locked="0"/>
    </xf>
    <xf numFmtId="0" fontId="0" fillId="7" borderId="97" xfId="0" applyFill="1" applyBorder="1" applyAlignment="1" applyProtection="1">
      <alignment horizontal="right"/>
      <protection locked="0"/>
    </xf>
    <xf numFmtId="2" fontId="2" fillId="7" borderId="73" xfId="0" applyNumberFormat="1" applyFont="1" applyFill="1" applyBorder="1" applyAlignment="1" applyProtection="1">
      <alignment horizontal="right"/>
      <protection locked="0"/>
    </xf>
    <xf numFmtId="0" fontId="0" fillId="7" borderId="88" xfId="0" applyFill="1" applyBorder="1" applyAlignment="1" applyProtection="1">
      <protection locked="0"/>
    </xf>
    <xf numFmtId="0" fontId="0" fillId="7" borderId="89" xfId="0" applyFill="1" applyBorder="1" applyAlignment="1" applyProtection="1">
      <protection locked="0"/>
    </xf>
    <xf numFmtId="0" fontId="0" fillId="7" borderId="92" xfId="0" applyFill="1" applyBorder="1" applyAlignment="1" applyProtection="1">
      <protection locked="0"/>
    </xf>
    <xf numFmtId="0" fontId="0" fillId="7" borderId="93" xfId="0" applyFill="1" applyBorder="1" applyAlignment="1" applyProtection="1">
      <protection locked="0"/>
    </xf>
    <xf numFmtId="0" fontId="0" fillId="7" borderId="94" xfId="0" applyFill="1" applyBorder="1" applyAlignment="1" applyProtection="1">
      <protection locked="0"/>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9" fillId="7" borderId="40" xfId="0" applyFont="1" applyFill="1" applyBorder="1" applyAlignment="1" applyProtection="1">
      <alignment horizontal="left"/>
      <protection locked="0"/>
    </xf>
    <xf numFmtId="0" fontId="29" fillId="7" borderId="47" xfId="0" applyFont="1" applyFill="1" applyBorder="1" applyAlignment="1" applyProtection="1">
      <alignment horizontal="left"/>
      <protection locked="0"/>
    </xf>
    <xf numFmtId="0" fontId="29" fillId="7" borderId="42" xfId="0" applyFont="1" applyFill="1" applyBorder="1" applyAlignment="1" applyProtection="1">
      <alignment horizontal="left"/>
      <protection locked="0"/>
    </xf>
    <xf numFmtId="0" fontId="29" fillId="7" borderId="44" xfId="0" applyFont="1" applyFill="1" applyBorder="1" applyAlignment="1" applyProtection="1">
      <alignment horizontal="left"/>
      <protection locked="0"/>
    </xf>
    <xf numFmtId="0" fontId="29" fillId="7" borderId="45" xfId="0" applyFont="1" applyFill="1" applyBorder="1" applyAlignment="1" applyProtection="1">
      <alignment horizontal="left"/>
      <protection locked="0"/>
    </xf>
    <xf numFmtId="0" fontId="29"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73"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12" fillId="7" borderId="93" xfId="0" applyFont="1" applyFill="1" applyBorder="1" applyAlignment="1" applyProtection="1">
      <alignment horizontal="left" vertical="top" wrapText="1"/>
      <protection locked="0"/>
    </xf>
    <xf numFmtId="0" fontId="12" fillId="7" borderId="94" xfId="0" applyFont="1" applyFill="1" applyBorder="1" applyAlignment="1" applyProtection="1">
      <alignment horizontal="left" vertical="top" wrapText="1"/>
      <protection locked="0"/>
    </xf>
    <xf numFmtId="0" fontId="33" fillId="7" borderId="40" xfId="0" applyFont="1" applyFill="1" applyBorder="1" applyAlignment="1" applyProtection="1">
      <alignment horizontal="center"/>
      <protection locked="0"/>
    </xf>
    <xf numFmtId="0" fontId="33" fillId="7" borderId="47" xfId="0" applyFont="1" applyFill="1" applyBorder="1" applyAlignment="1" applyProtection="1">
      <alignment horizontal="center"/>
      <protection locked="0"/>
    </xf>
    <xf numFmtId="0" fontId="33" fillId="7" borderId="42" xfId="0" applyFont="1" applyFill="1" applyBorder="1" applyAlignment="1" applyProtection="1">
      <alignment horizontal="center"/>
      <protection locked="0"/>
    </xf>
    <xf numFmtId="0" fontId="33" fillId="7" borderId="44" xfId="0" applyFont="1" applyFill="1" applyBorder="1" applyAlignment="1" applyProtection="1">
      <alignment horizontal="center"/>
      <protection locked="0"/>
    </xf>
    <xf numFmtId="0" fontId="33" fillId="7" borderId="45" xfId="0" applyFont="1" applyFill="1" applyBorder="1" applyAlignment="1" applyProtection="1">
      <alignment horizontal="center"/>
      <protection locked="0"/>
    </xf>
    <xf numFmtId="0" fontId="33" fillId="7" borderId="46" xfId="0" applyFont="1" applyFill="1" applyBorder="1" applyAlignment="1" applyProtection="1">
      <alignment horizontal="center"/>
      <protection locked="0"/>
    </xf>
    <xf numFmtId="49" fontId="36" fillId="11" borderId="12" xfId="0" applyNumberFormat="1" applyFont="1" applyFill="1" applyBorder="1" applyAlignment="1">
      <alignment horizontal="center" vertical="center" wrapText="1"/>
    </xf>
    <xf numFmtId="49" fontId="36" fillId="11" borderId="74" xfId="0" applyNumberFormat="1" applyFont="1" applyFill="1" applyBorder="1" applyAlignment="1">
      <alignment horizontal="center" vertical="center" wrapText="1"/>
    </xf>
    <xf numFmtId="49" fontId="2" fillId="0" borderId="120" xfId="0" applyNumberFormat="1" applyFont="1" applyFill="1" applyBorder="1" applyAlignment="1">
      <alignment horizontal="center" vertical="center" wrapText="1"/>
    </xf>
    <xf numFmtId="49" fontId="2" fillId="0" borderId="23" xfId="0" applyNumberFormat="1" applyFont="1" applyFill="1" applyBorder="1" applyAlignment="1">
      <alignment horizontal="center" vertical="center" wrapText="1"/>
    </xf>
    <xf numFmtId="49" fontId="2" fillId="0" borderId="123" xfId="0" quotePrefix="1" applyNumberFormat="1" applyFont="1" applyFill="1" applyBorder="1" applyAlignment="1">
      <alignment horizontal="center" vertical="center" wrapText="1"/>
    </xf>
    <xf numFmtId="49" fontId="2" fillId="0" borderId="123" xfId="0" applyNumberFormat="1" applyFont="1" applyFill="1" applyBorder="1" applyAlignment="1">
      <alignment horizontal="center" vertical="center" wrapText="1"/>
    </xf>
    <xf numFmtId="49" fontId="2" fillId="0" borderId="124" xfId="0" applyNumberFormat="1" applyFont="1" applyFill="1" applyBorder="1" applyAlignment="1">
      <alignment horizontal="center" vertical="center" wrapText="1"/>
    </xf>
    <xf numFmtId="0" fontId="12" fillId="7" borderId="0" xfId="0" applyFont="1" applyFill="1" applyAlignment="1" applyProtection="1">
      <alignment horizontal="left" vertical="top" wrapText="1"/>
      <protection locked="0"/>
    </xf>
    <xf numFmtId="0" fontId="33" fillId="7" borderId="40" xfId="0" applyFont="1" applyFill="1" applyBorder="1" applyAlignment="1" applyProtection="1">
      <alignment horizontal="left"/>
      <protection locked="0"/>
    </xf>
    <xf numFmtId="0" fontId="33" fillId="7" borderId="47" xfId="0" applyFont="1" applyFill="1" applyBorder="1" applyAlignment="1" applyProtection="1">
      <alignment horizontal="left"/>
      <protection locked="0"/>
    </xf>
    <xf numFmtId="0" fontId="33" fillId="7" borderId="42" xfId="0" applyFont="1" applyFill="1" applyBorder="1" applyAlignment="1" applyProtection="1">
      <alignment horizontal="left"/>
      <protection locked="0"/>
    </xf>
    <xf numFmtId="0" fontId="33" fillId="7" borderId="44" xfId="0" applyFont="1" applyFill="1" applyBorder="1" applyAlignment="1" applyProtection="1">
      <alignment horizontal="left"/>
      <protection locked="0"/>
    </xf>
    <xf numFmtId="0" fontId="33" fillId="7" borderId="45" xfId="0" applyFont="1" applyFill="1" applyBorder="1" applyAlignment="1" applyProtection="1">
      <alignment horizontal="left"/>
      <protection locked="0"/>
    </xf>
    <xf numFmtId="0" fontId="33" fillId="7" borderId="46" xfId="0" applyFont="1" applyFill="1" applyBorder="1" applyAlignment="1" applyProtection="1">
      <alignment horizontal="left"/>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35" fillId="7" borderId="40" xfId="0" applyNumberFormat="1" applyFont="1" applyFill="1" applyBorder="1" applyAlignment="1">
      <alignment horizontal="left"/>
    </xf>
    <xf numFmtId="49" fontId="35" fillId="7" borderId="42" xfId="0" applyNumberFormat="1" applyFont="1" applyFill="1" applyBorder="1" applyAlignment="1">
      <alignment horizontal="left"/>
    </xf>
    <xf numFmtId="49" fontId="35" fillId="7" borderId="44" xfId="0" applyNumberFormat="1" applyFont="1" applyFill="1" applyBorder="1" applyAlignment="1">
      <alignment horizontal="left"/>
    </xf>
    <xf numFmtId="49" fontId="35" fillId="7" borderId="46" xfId="0" applyNumberFormat="1" applyFont="1" applyFill="1" applyBorder="1" applyAlignment="1">
      <alignment horizontal="left"/>
    </xf>
    <xf numFmtId="0" fontId="12" fillId="7" borderId="88" xfId="0" applyFont="1" applyFill="1" applyBorder="1" applyAlignment="1" applyProtection="1">
      <alignment wrapText="1"/>
      <protection locked="0"/>
    </xf>
    <xf numFmtId="0" fontId="12" fillId="7" borderId="89"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91" xfId="0" applyFont="1" applyFill="1" applyBorder="1" applyAlignment="1" applyProtection="1">
      <alignment wrapText="1"/>
      <protection locked="0"/>
    </xf>
    <xf numFmtId="0" fontId="12" fillId="7" borderId="93" xfId="0" applyFont="1" applyFill="1" applyBorder="1" applyAlignment="1" applyProtection="1">
      <alignment wrapText="1"/>
      <protection locked="0"/>
    </xf>
    <xf numFmtId="0" fontId="12" fillId="7" borderId="94" xfId="0" applyFont="1" applyFill="1" applyBorder="1" applyAlignment="1" applyProtection="1">
      <alignment wrapText="1"/>
      <protection locked="0"/>
    </xf>
    <xf numFmtId="49" fontId="32" fillId="7" borderId="40" xfId="0" applyNumberFormat="1" applyFont="1" applyFill="1" applyBorder="1" applyAlignment="1" applyProtection="1">
      <alignment horizontal="left"/>
      <protection locked="0"/>
    </xf>
    <xf numFmtId="49" fontId="32" fillId="7" borderId="42" xfId="0" applyNumberFormat="1" applyFont="1" applyFill="1" applyBorder="1" applyAlignment="1" applyProtection="1">
      <alignment horizontal="left"/>
      <protection locked="0"/>
    </xf>
    <xf numFmtId="49" fontId="32" fillId="7" borderId="44" xfId="0" applyNumberFormat="1" applyFont="1" applyFill="1" applyBorder="1" applyAlignment="1" applyProtection="1">
      <alignment horizontal="left"/>
      <protection locked="0"/>
    </xf>
    <xf numFmtId="49" fontId="32" fillId="7" borderId="46" xfId="0" applyNumberFormat="1" applyFont="1" applyFill="1" applyBorder="1" applyAlignment="1" applyProtection="1">
      <alignment horizontal="left"/>
      <protection locked="0"/>
    </xf>
    <xf numFmtId="0" fontId="0" fillId="5" borderId="0" xfId="0" applyFill="1" applyAlignment="1">
      <alignment vertical="top" wrapText="1"/>
    </xf>
    <xf numFmtId="0" fontId="26" fillId="5" borderId="0" xfId="0" applyFont="1" applyFill="1" applyAlignment="1">
      <alignment vertical="top" wrapText="1"/>
    </xf>
    <xf numFmtId="0" fontId="8" fillId="5" borderId="0" xfId="0" applyFont="1" applyFill="1" applyAlignment="1">
      <alignment vertical="top" wrapText="1"/>
    </xf>
    <xf numFmtId="0" fontId="0" fillId="5" borderId="0" xfId="0" applyFill="1" applyBorder="1" applyAlignment="1">
      <alignment horizontal="left" vertical="top" wrapText="1"/>
    </xf>
    <xf numFmtId="0" fontId="30" fillId="0" borderId="0" xfId="0" applyNumberFormat="1" applyFont="1" applyAlignment="1">
      <alignment horizontal="left" wrapText="1"/>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Border="1" applyAlignment="1">
      <alignment horizontal="center" vertical="center"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5" borderId="0" xfId="0" applyFill="1" applyBorder="1" applyAlignment="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0" fillId="0" borderId="0" xfId="0" applyAlignment="1">
      <alignment vertical="top" wrapText="1"/>
    </xf>
    <xf numFmtId="0" fontId="0" fillId="0" borderId="0" xfId="0" applyBorder="1"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5" xfId="0" applyBorder="1" applyAlignment="1">
      <alignment horizontal="center"/>
    </xf>
    <xf numFmtId="0" fontId="0" fillId="0" borderId="87" xfId="0" applyBorder="1" applyAlignment="1">
      <alignment horizontal="center"/>
    </xf>
    <xf numFmtId="0" fontId="0" fillId="0" borderId="86"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xf>
    <xf numFmtId="0" fontId="40" fillId="0" borderId="118" xfId="0" applyFont="1" applyBorder="1" applyAlignment="1">
      <alignment horizontal="center" vertical="center" wrapText="1"/>
    </xf>
    <xf numFmtId="0" fontId="40" fillId="0" borderId="115" xfId="0" applyFont="1" applyBorder="1" applyAlignment="1">
      <alignment horizontal="center" vertical="center" wrapText="1"/>
    </xf>
  </cellXfs>
  <cellStyles count="51">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hyperlink" Target="#GenlInstr!A19:A30"/><Relationship Id="rId2" Type="http://schemas.openxmlformats.org/officeDocument/2006/relationships/hyperlink" Target="#GenlInstr!E6"/></Relationships>
</file>

<file path=xl/drawings/drawing1.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twoCellAnchor editAs="oneCell">
    <xdr:from>
      <xdr:col>13</xdr:col>
      <xdr:colOff>311391</xdr:colOff>
      <xdr:row>0</xdr:row>
      <xdr:rowOff>121920</xdr:rowOff>
    </xdr:from>
    <xdr:to>
      <xdr:col>15</xdr:col>
      <xdr:colOff>739339</xdr:colOff>
      <xdr:row>1</xdr:row>
      <xdr:rowOff>142240</xdr:rowOff>
    </xdr:to>
    <xdr:pic>
      <xdr:nvPicPr>
        <xdr:cNvPr id="3" name="Picture 2"/>
        <xdr:cNvPicPr>
          <a:picLocks noChangeAspect="1"/>
        </xdr:cNvPicPr>
      </xdr:nvPicPr>
      <xdr:blipFill>
        <a:blip xmlns:r="http://schemas.openxmlformats.org/officeDocument/2006/relationships" r:embed="rId1"/>
        <a:stretch>
          <a:fillRect/>
        </a:stretch>
      </xdr:blipFill>
      <xdr:spPr>
        <a:xfrm>
          <a:off x="9607791" y="121920"/>
          <a:ext cx="1351238" cy="6705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292100</xdr:colOff>
      <xdr:row>23</xdr:row>
      <xdr:rowOff>63500</xdr:rowOff>
    </xdr:from>
    <xdr:to>
      <xdr:col>2</xdr:col>
      <xdr:colOff>508000</xdr:colOff>
      <xdr:row>26</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596900</xdr:colOff>
      <xdr:row>24</xdr:row>
      <xdr:rowOff>76200</xdr:rowOff>
    </xdr:from>
    <xdr:to>
      <xdr:col>2</xdr:col>
      <xdr:colOff>213213</xdr:colOff>
      <xdr:row>26</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 Type="http://schemas.openxmlformats.org/officeDocument/2006/relationships/vmlDrawing" Target="../drawings/vmlDrawing1.vml"/><Relationship Id="rId12" Type="http://schemas.openxmlformats.org/officeDocument/2006/relationships/comments" Target="../comments1.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 Type="http://schemas.openxmlformats.org/officeDocument/2006/relationships/vmlDrawing" Target="../drawings/vmlDrawing2.vml"/><Relationship Id="rId12" Type="http://schemas.openxmlformats.org/officeDocument/2006/relationships/comments" Target="../comments2.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1" Type="http://schemas.openxmlformats.org/officeDocument/2006/relationships/vmlDrawing" Target="../drawings/vmlDrawing3.vml"/><Relationship Id="rId12" Type="http://schemas.openxmlformats.org/officeDocument/2006/relationships/comments" Target="../comments3.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1"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14" Type="http://schemas.openxmlformats.org/officeDocument/2006/relationships/hyperlink" Target="mailto:john.radkowski@ucsf.edu" TargetMode="Externa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http://grants.nih.gov/grants/guide/notice-files/NOT-OD-12-035.html" TargetMode="External"/><Relationship Id="rId9" Type="http://schemas.openxmlformats.org/officeDocument/2006/relationships/hyperlink" Target="http://grants.nih.gov/grants/guide/notice-files/NOT-OD-12-035.html" TargetMode="External"/><Relationship Id="rId10" Type="http://schemas.openxmlformats.org/officeDocument/2006/relationships/hyperlink" Target="http://grants.nih.gov/grants/guide/notice-files/NOT-OD-12-035.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Q100"/>
  <sheetViews>
    <sheetView showGridLines="0" showZeros="0" zoomScale="125" zoomScaleNormal="125" zoomScalePageLayoutView="125" workbookViewId="0">
      <selection activeCell="D9" sqref="D9:G10"/>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3.5" customWidth="1"/>
    <col min="9" max="9" width="8.33203125" bestFit="1" customWidth="1"/>
    <col min="10"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1" width="8" customWidth="1"/>
    <col min="22" max="22" width="7" customWidth="1"/>
    <col min="23" max="23" width="20.33203125" customWidth="1"/>
    <col min="24" max="24" width="19" customWidth="1"/>
    <col min="25" max="25" width="27" customWidth="1"/>
    <col min="26" max="26" width="20.33203125" customWidth="1"/>
    <col min="27" max="31" width="8" customWidth="1"/>
    <col min="32" max="32" width="9.1640625" customWidth="1"/>
    <col min="33" max="33" width="8.33203125" hidden="1" customWidth="1"/>
    <col min="34" max="34" width="10.5" hidden="1" customWidth="1"/>
    <col min="35" max="36" width="10.33203125" hidden="1" customWidth="1"/>
    <col min="37" max="37" width="9" hidden="1" customWidth="1"/>
    <col min="38" max="38" width="9.1640625" customWidth="1"/>
  </cols>
  <sheetData>
    <row r="1" spans="1:37" ht="51" customHeight="1" thickBot="1">
      <c r="A1" s="242"/>
      <c r="B1" s="504" t="s">
        <v>191</v>
      </c>
      <c r="C1" s="243"/>
      <c r="D1" s="243"/>
      <c r="E1" s="532"/>
      <c r="F1" s="243"/>
      <c r="G1" s="243"/>
      <c r="H1" s="243"/>
      <c r="I1" s="243"/>
      <c r="J1" s="243"/>
      <c r="K1" s="243"/>
      <c r="L1" s="243"/>
      <c r="M1" s="243"/>
      <c r="N1" s="243"/>
      <c r="O1" s="55"/>
      <c r="P1" s="244"/>
      <c r="Q1" s="55"/>
      <c r="R1" s="618" t="s">
        <v>155</v>
      </c>
      <c r="S1" s="618"/>
      <c r="T1" s="618"/>
      <c r="U1" s="618"/>
      <c r="V1" s="618"/>
      <c r="W1" s="618"/>
      <c r="X1" s="618"/>
      <c r="Y1" s="618"/>
      <c r="Z1" s="618"/>
      <c r="AA1" s="55"/>
      <c r="AB1" s="55"/>
      <c r="AC1" s="55"/>
      <c r="AD1" s="55"/>
      <c r="AE1" s="55"/>
    </row>
    <row r="2" spans="1:37" ht="26.25" customHeight="1" thickBot="1">
      <c r="D2" s="620" t="s">
        <v>193</v>
      </c>
      <c r="E2" s="620"/>
      <c r="F2" s="620"/>
      <c r="G2" s="620"/>
      <c r="H2" s="620"/>
      <c r="I2" s="620"/>
      <c r="J2" s="620"/>
      <c r="K2" s="620"/>
      <c r="L2" s="620"/>
      <c r="R2" s="611" t="s">
        <v>156</v>
      </c>
      <c r="S2" s="612"/>
      <c r="T2" s="612" t="s">
        <v>157</v>
      </c>
      <c r="U2" s="612"/>
      <c r="V2" s="612"/>
      <c r="W2" s="612" t="s">
        <v>158</v>
      </c>
      <c r="X2" s="612" t="s">
        <v>159</v>
      </c>
      <c r="Y2" s="612" t="s">
        <v>184</v>
      </c>
      <c r="Z2" s="658" t="s">
        <v>161</v>
      </c>
    </row>
    <row r="3" spans="1:37" ht="12.75" customHeight="1" thickTop="1" thickBot="1">
      <c r="A3" s="152"/>
      <c r="B3" s="36"/>
      <c r="C3" s="36"/>
      <c r="D3" s="36"/>
      <c r="E3" s="36"/>
      <c r="F3" s="36"/>
      <c r="G3" s="36"/>
      <c r="H3" s="36"/>
      <c r="I3" s="36"/>
      <c r="J3" s="36"/>
      <c r="K3" s="36"/>
      <c r="L3" s="36"/>
      <c r="M3" s="36"/>
      <c r="N3" s="36"/>
      <c r="O3" s="36"/>
      <c r="P3" s="50"/>
      <c r="Q3" s="35"/>
      <c r="R3" s="613"/>
      <c r="S3" s="614"/>
      <c r="T3" s="614"/>
      <c r="U3" s="614"/>
      <c r="V3" s="614"/>
      <c r="W3" s="614"/>
      <c r="X3" s="614"/>
      <c r="Y3" s="614"/>
      <c r="Z3" s="659"/>
      <c r="AA3" s="160"/>
      <c r="AB3" s="35"/>
      <c r="AC3" s="35"/>
      <c r="AD3" s="35"/>
      <c r="AE3" s="35"/>
    </row>
    <row r="4" spans="1:37">
      <c r="A4" s="64"/>
      <c r="B4" s="212" t="s">
        <v>125</v>
      </c>
      <c r="C4" s="73"/>
      <c r="D4" s="73"/>
      <c r="E4" s="35"/>
      <c r="F4" s="35"/>
      <c r="G4" s="35"/>
      <c r="H4" s="35"/>
      <c r="I4" s="35"/>
      <c r="J4" s="35"/>
      <c r="K4" s="35"/>
      <c r="L4" s="265" t="s">
        <v>81</v>
      </c>
      <c r="M4" s="265"/>
      <c r="N4" s="378" t="s">
        <v>119</v>
      </c>
      <c r="O4" s="374"/>
      <c r="P4" s="376" t="s">
        <v>118</v>
      </c>
      <c r="Q4" s="35"/>
      <c r="R4" s="615" t="s">
        <v>162</v>
      </c>
      <c r="S4" s="616"/>
      <c r="T4" s="660" t="s">
        <v>163</v>
      </c>
      <c r="U4" s="661"/>
      <c r="V4" s="616"/>
      <c r="W4" s="662" t="s">
        <v>185</v>
      </c>
      <c r="X4" s="663" t="s">
        <v>164</v>
      </c>
      <c r="Y4" s="663" t="s">
        <v>165</v>
      </c>
      <c r="Z4" s="664" t="s">
        <v>166</v>
      </c>
      <c r="AA4" s="160"/>
      <c r="AB4" s="35"/>
      <c r="AC4" s="35"/>
      <c r="AD4" s="35"/>
      <c r="AE4" s="35"/>
    </row>
    <row r="5" spans="1:37" ht="13.5" hidden="1" customHeight="1">
      <c r="A5" s="64"/>
      <c r="B5" s="212"/>
      <c r="H5" s="35"/>
      <c r="I5" s="35"/>
      <c r="J5" s="35"/>
      <c r="K5" s="35"/>
      <c r="L5" s="136"/>
      <c r="M5" s="379"/>
      <c r="N5" s="88"/>
      <c r="O5" s="35"/>
      <c r="P5" s="377"/>
      <c r="Q5" s="35"/>
      <c r="R5" s="589"/>
      <c r="S5" s="590"/>
      <c r="T5" s="597"/>
      <c r="U5" s="598"/>
      <c r="V5" s="590"/>
      <c r="W5" s="584"/>
      <c r="X5" s="584"/>
      <c r="Y5" s="584"/>
      <c r="Z5" s="606"/>
      <c r="AA5" s="160"/>
      <c r="AB5" s="35"/>
      <c r="AC5" s="35"/>
      <c r="AD5" s="35"/>
      <c r="AE5" s="35"/>
    </row>
    <row r="6" spans="1:37" ht="30" hidden="1" customHeight="1">
      <c r="A6" s="64"/>
      <c r="B6" s="31"/>
      <c r="H6" s="159"/>
      <c r="I6" s="53"/>
      <c r="L6" s="404"/>
      <c r="M6" s="379"/>
      <c r="N6" s="88"/>
      <c r="O6" s="35"/>
      <c r="P6" s="405"/>
      <c r="Q6" s="49"/>
      <c r="R6" s="589"/>
      <c r="S6" s="590"/>
      <c r="T6" s="597"/>
      <c r="U6" s="598"/>
      <c r="V6" s="590"/>
      <c r="W6" s="584"/>
      <c r="X6" s="584"/>
      <c r="Y6" s="584"/>
      <c r="Z6" s="606"/>
      <c r="AA6" s="529"/>
      <c r="AB6" s="49"/>
      <c r="AC6" s="49"/>
      <c r="AD6" s="49"/>
      <c r="AE6" s="49"/>
    </row>
    <row r="7" spans="1:37" ht="12.75" customHeight="1">
      <c r="A7" s="64"/>
      <c r="B7" s="31"/>
      <c r="D7" s="639" t="s">
        <v>208</v>
      </c>
      <c r="E7" s="640"/>
      <c r="H7" s="159"/>
      <c r="I7" s="53"/>
      <c r="J7" s="35"/>
      <c r="K7" s="35"/>
      <c r="L7" s="404" t="s">
        <v>126</v>
      </c>
      <c r="M7" s="379">
        <v>9</v>
      </c>
      <c r="N7" s="88">
        <v>166700</v>
      </c>
      <c r="O7" s="35"/>
      <c r="P7" s="405">
        <f t="shared" ref="P7:P17" si="0">N7/12</f>
        <v>13891.666666666666</v>
      </c>
      <c r="Q7" s="35"/>
      <c r="R7" s="589"/>
      <c r="S7" s="590"/>
      <c r="T7" s="597"/>
      <c r="U7" s="598"/>
      <c r="V7" s="590"/>
      <c r="W7" s="584"/>
      <c r="X7" s="584"/>
      <c r="Y7" s="584"/>
      <c r="Z7" s="606"/>
      <c r="AA7" s="160"/>
      <c r="AB7" s="35"/>
      <c r="AC7" s="35"/>
      <c r="AD7" s="35"/>
      <c r="AE7" s="35"/>
      <c r="AG7" s="110" t="s">
        <v>30</v>
      </c>
      <c r="AJ7" s="110" t="s">
        <v>39</v>
      </c>
      <c r="AK7" s="127">
        <f>SUM(AI35:AK35)</f>
        <v>0</v>
      </c>
    </row>
    <row r="8" spans="1:37" ht="14.25" customHeight="1">
      <c r="A8" s="64"/>
      <c r="B8" s="31"/>
      <c r="C8" s="340" t="s">
        <v>113</v>
      </c>
      <c r="D8" s="641"/>
      <c r="E8" s="642"/>
      <c r="F8" s="341" t="s">
        <v>81</v>
      </c>
      <c r="H8" s="159"/>
      <c r="I8" s="53"/>
      <c r="J8" s="35"/>
      <c r="K8" s="35"/>
      <c r="L8" s="404" t="s">
        <v>127</v>
      </c>
      <c r="M8" s="379">
        <v>10</v>
      </c>
      <c r="N8" s="88">
        <v>171900</v>
      </c>
      <c r="O8" s="35"/>
      <c r="P8" s="405">
        <f t="shared" si="0"/>
        <v>14325</v>
      </c>
      <c r="Q8" s="35"/>
      <c r="R8" s="591"/>
      <c r="S8" s="592"/>
      <c r="T8" s="599"/>
      <c r="U8" s="600"/>
      <c r="V8" s="592"/>
      <c r="W8" s="585"/>
      <c r="X8" s="585"/>
      <c r="Y8" s="585"/>
      <c r="Z8" s="607"/>
      <c r="AA8" s="160"/>
      <c r="AB8" s="35"/>
      <c r="AC8" s="35"/>
      <c r="AD8" s="35"/>
      <c r="AE8" s="35"/>
      <c r="AG8" s="110"/>
      <c r="AJ8" s="110"/>
      <c r="AK8" s="127"/>
    </row>
    <row r="9" spans="1:37" ht="12.75" customHeight="1">
      <c r="A9" s="64"/>
      <c r="B9" s="31"/>
      <c r="D9" s="633"/>
      <c r="E9" s="634"/>
      <c r="F9" s="634"/>
      <c r="G9" s="635"/>
      <c r="H9" s="159"/>
      <c r="I9" s="53"/>
      <c r="J9" s="35"/>
      <c r="K9" s="35"/>
      <c r="L9" s="404" t="s">
        <v>129</v>
      </c>
      <c r="M9" s="379">
        <v>11</v>
      </c>
      <c r="N9" s="88">
        <v>175700</v>
      </c>
      <c r="O9" s="35"/>
      <c r="P9" s="405">
        <f t="shared" si="0"/>
        <v>14641.666666666666</v>
      </c>
      <c r="Q9" s="35"/>
      <c r="R9" s="617" t="s">
        <v>167</v>
      </c>
      <c r="S9" s="604"/>
      <c r="T9" s="604" t="s">
        <v>168</v>
      </c>
      <c r="U9" s="604"/>
      <c r="V9" s="604"/>
      <c r="W9" s="603" t="s">
        <v>186</v>
      </c>
      <c r="X9" s="604" t="s">
        <v>171</v>
      </c>
      <c r="Y9" s="604" t="s">
        <v>172</v>
      </c>
      <c r="Z9" s="619" t="s">
        <v>166</v>
      </c>
      <c r="AA9" s="160"/>
      <c r="AB9" s="35"/>
      <c r="AC9" s="35"/>
      <c r="AD9" s="35"/>
      <c r="AE9" s="35"/>
      <c r="AG9" s="110"/>
      <c r="AJ9" s="110"/>
      <c r="AK9" s="127"/>
    </row>
    <row r="10" spans="1:37" ht="12.75" customHeight="1">
      <c r="A10" s="64"/>
      <c r="B10" s="31"/>
      <c r="C10" s="136" t="s">
        <v>44</v>
      </c>
      <c r="D10" s="636"/>
      <c r="E10" s="637"/>
      <c r="F10" s="637"/>
      <c r="G10" s="638"/>
      <c r="H10" s="159"/>
      <c r="I10" s="53"/>
      <c r="J10" s="35"/>
      <c r="K10" s="35"/>
      <c r="L10" s="404" t="s">
        <v>131</v>
      </c>
      <c r="M10" s="379">
        <v>12</v>
      </c>
      <c r="N10" s="88">
        <v>180100</v>
      </c>
      <c r="O10" s="35"/>
      <c r="P10" s="405">
        <f t="shared" si="0"/>
        <v>15008.333333333334</v>
      </c>
      <c r="Q10" s="35"/>
      <c r="R10" s="617"/>
      <c r="S10" s="604"/>
      <c r="T10" s="604"/>
      <c r="U10" s="604"/>
      <c r="V10" s="604"/>
      <c r="W10" s="604"/>
      <c r="X10" s="604"/>
      <c r="Y10" s="604"/>
      <c r="Z10" s="619"/>
      <c r="AA10" s="160"/>
      <c r="AB10" s="35"/>
      <c r="AC10" s="35"/>
      <c r="AD10" s="35"/>
      <c r="AE10" s="35"/>
      <c r="AG10" s="110"/>
      <c r="AJ10" s="110"/>
      <c r="AK10" s="127"/>
    </row>
    <row r="11" spans="1:37" ht="12.75" customHeight="1">
      <c r="A11" s="64"/>
      <c r="B11" s="31"/>
      <c r="D11" s="633"/>
      <c r="E11" s="634"/>
      <c r="F11" s="634"/>
      <c r="G11" s="635"/>
      <c r="H11" s="159"/>
      <c r="I11" s="53"/>
      <c r="J11" s="35"/>
      <c r="K11" s="35"/>
      <c r="L11" s="404" t="s">
        <v>132</v>
      </c>
      <c r="M11" s="379">
        <v>13</v>
      </c>
      <c r="N11" s="88">
        <v>183500</v>
      </c>
      <c r="O11" s="35"/>
      <c r="P11" s="405">
        <f t="shared" si="0"/>
        <v>15291.666666666666</v>
      </c>
      <c r="Q11" s="35"/>
      <c r="R11" s="617"/>
      <c r="S11" s="604"/>
      <c r="T11" s="604"/>
      <c r="U11" s="604"/>
      <c r="V11" s="604"/>
      <c r="W11" s="604"/>
      <c r="X11" s="604"/>
      <c r="Y11" s="604"/>
      <c r="Z11" s="619"/>
      <c r="AA11" s="160"/>
      <c r="AB11" s="35"/>
      <c r="AC11" s="35"/>
      <c r="AD11" s="35"/>
      <c r="AE11" s="35"/>
      <c r="AG11" s="110"/>
      <c r="AJ11" s="110"/>
      <c r="AK11" s="127"/>
    </row>
    <row r="12" spans="1:37" ht="12.75" customHeight="1">
      <c r="A12" s="64"/>
      <c r="B12" s="31"/>
      <c r="C12" s="136" t="s">
        <v>45</v>
      </c>
      <c r="D12" s="636"/>
      <c r="E12" s="637"/>
      <c r="F12" s="637"/>
      <c r="G12" s="638"/>
      <c r="H12" s="159"/>
      <c r="I12" s="53"/>
      <c r="J12" s="35"/>
      <c r="K12" s="35"/>
      <c r="L12" s="404" t="s">
        <v>134</v>
      </c>
      <c r="M12" s="379">
        <v>14</v>
      </c>
      <c r="N12" s="88">
        <v>186600</v>
      </c>
      <c r="O12" s="35"/>
      <c r="P12" s="405">
        <f t="shared" si="0"/>
        <v>15550</v>
      </c>
      <c r="Q12" s="35"/>
      <c r="R12" s="587" t="s">
        <v>167</v>
      </c>
      <c r="S12" s="588"/>
      <c r="T12" s="595" t="s">
        <v>173</v>
      </c>
      <c r="U12" s="596"/>
      <c r="V12" s="588"/>
      <c r="W12" s="603" t="s">
        <v>186</v>
      </c>
      <c r="X12" s="583" t="s">
        <v>175</v>
      </c>
      <c r="Y12" s="604" t="s">
        <v>172</v>
      </c>
      <c r="Z12" s="605" t="s">
        <v>166</v>
      </c>
      <c r="AA12" s="160"/>
      <c r="AB12" s="35"/>
      <c r="AC12" s="35"/>
      <c r="AD12" s="35"/>
      <c r="AE12" s="35"/>
      <c r="AG12" s="110"/>
      <c r="AJ12" s="110"/>
      <c r="AK12" s="127"/>
    </row>
    <row r="13" spans="1:37">
      <c r="A13" s="64"/>
      <c r="B13" s="31"/>
      <c r="C13" s="136"/>
      <c r="D13" s="136"/>
      <c r="E13" s="402"/>
      <c r="F13" s="403"/>
      <c r="H13" s="159"/>
      <c r="J13" s="35"/>
      <c r="K13" s="35"/>
      <c r="L13" s="340" t="s">
        <v>140</v>
      </c>
      <c r="M13" s="379">
        <v>15</v>
      </c>
      <c r="N13" s="88">
        <v>200000</v>
      </c>
      <c r="O13" s="35"/>
      <c r="P13" s="405">
        <f t="shared" si="0"/>
        <v>16666.666666666668</v>
      </c>
      <c r="Q13" s="35"/>
      <c r="R13" s="589"/>
      <c r="S13" s="590"/>
      <c r="T13" s="597"/>
      <c r="U13" s="598"/>
      <c r="V13" s="590"/>
      <c r="W13" s="604"/>
      <c r="X13" s="584"/>
      <c r="Y13" s="604"/>
      <c r="Z13" s="606"/>
      <c r="AA13" s="160"/>
      <c r="AB13" s="35"/>
      <c r="AC13" s="35"/>
      <c r="AD13" s="35"/>
      <c r="AE13" s="35"/>
      <c r="AG13" s="110"/>
      <c r="AJ13" s="110"/>
      <c r="AK13" s="127"/>
    </row>
    <row r="14" spans="1:37" ht="12" customHeight="1">
      <c r="A14" s="64"/>
      <c r="B14" s="31"/>
      <c r="C14" s="136"/>
      <c r="D14" s="136"/>
      <c r="E14" s="402"/>
      <c r="F14" s="403"/>
      <c r="H14" s="159"/>
      <c r="J14" s="35"/>
      <c r="K14" s="35"/>
      <c r="L14" s="340" t="s">
        <v>136</v>
      </c>
      <c r="M14" s="379">
        <v>16</v>
      </c>
      <c r="N14" s="88">
        <v>191300</v>
      </c>
      <c r="O14" s="35"/>
      <c r="P14" s="405">
        <f t="shared" si="0"/>
        <v>15941.666666666666</v>
      </c>
      <c r="Q14" s="35"/>
      <c r="R14" s="591"/>
      <c r="S14" s="592"/>
      <c r="T14" s="599"/>
      <c r="U14" s="600"/>
      <c r="V14" s="592"/>
      <c r="W14" s="604"/>
      <c r="X14" s="585"/>
      <c r="Y14" s="604"/>
      <c r="Z14" s="607"/>
      <c r="AA14" s="160"/>
      <c r="AB14" s="35"/>
      <c r="AC14" s="35"/>
      <c r="AD14" s="35"/>
      <c r="AE14" s="35"/>
      <c r="AG14" s="110"/>
      <c r="AJ14" s="110"/>
      <c r="AK14" s="127"/>
    </row>
    <row r="15" spans="1:37">
      <c r="A15" s="64"/>
      <c r="B15" s="31"/>
      <c r="C15" s="136"/>
      <c r="D15" s="136"/>
      <c r="E15" s="402"/>
      <c r="F15" s="403"/>
      <c r="H15" s="159"/>
      <c r="I15" s="326"/>
      <c r="J15" s="160"/>
      <c r="K15" s="160"/>
      <c r="L15" s="510" t="s">
        <v>135</v>
      </c>
      <c r="M15" s="507">
        <v>17</v>
      </c>
      <c r="N15" s="508">
        <v>207000</v>
      </c>
      <c r="O15" s="160"/>
      <c r="P15" s="509">
        <f t="shared" si="0"/>
        <v>17250</v>
      </c>
      <c r="Q15" s="35"/>
      <c r="R15" s="587" t="s">
        <v>176</v>
      </c>
      <c r="S15" s="588"/>
      <c r="T15" s="595" t="s">
        <v>168</v>
      </c>
      <c r="U15" s="596"/>
      <c r="V15" s="588"/>
      <c r="W15" s="609" t="s">
        <v>187</v>
      </c>
      <c r="X15" s="583" t="s">
        <v>177</v>
      </c>
      <c r="Y15" s="583" t="s">
        <v>178</v>
      </c>
      <c r="Z15" s="605" t="s">
        <v>166</v>
      </c>
      <c r="AA15" s="160"/>
      <c r="AB15" s="35"/>
      <c r="AC15" s="35"/>
      <c r="AD15" s="35"/>
      <c r="AE15" s="35"/>
      <c r="AG15" s="110"/>
      <c r="AJ15" s="110"/>
      <c r="AK15" s="127"/>
    </row>
    <row r="16" spans="1:37">
      <c r="A16" s="64"/>
      <c r="B16" s="31"/>
      <c r="C16" s="136"/>
      <c r="D16" s="136"/>
      <c r="E16" s="402"/>
      <c r="F16" s="403"/>
      <c r="H16" s="159"/>
      <c r="I16" s="468"/>
      <c r="J16" s="469"/>
      <c r="K16" s="469"/>
      <c r="L16" s="470" t="s">
        <v>151</v>
      </c>
      <c r="M16" s="471">
        <v>18</v>
      </c>
      <c r="N16" s="472">
        <v>196700</v>
      </c>
      <c r="O16" s="469"/>
      <c r="P16" s="473">
        <f t="shared" si="0"/>
        <v>16391.666666666668</v>
      </c>
      <c r="Q16" s="35"/>
      <c r="R16" s="589"/>
      <c r="S16" s="590"/>
      <c r="T16" s="597"/>
      <c r="U16" s="598"/>
      <c r="V16" s="590"/>
      <c r="W16" s="584"/>
      <c r="X16" s="584"/>
      <c r="Y16" s="584"/>
      <c r="Z16" s="606"/>
      <c r="AA16" s="160"/>
      <c r="AB16" s="35"/>
      <c r="AC16" s="35"/>
      <c r="AD16" s="35"/>
      <c r="AE16" s="35"/>
      <c r="AG16" s="110"/>
      <c r="AJ16" s="110"/>
      <c r="AK16" s="127"/>
    </row>
    <row r="17" spans="1:37">
      <c r="A17" s="64"/>
      <c r="B17" s="31"/>
      <c r="C17" s="136"/>
      <c r="D17" s="136"/>
      <c r="E17" s="402"/>
      <c r="F17" s="403"/>
      <c r="H17" s="159"/>
      <c r="I17" s="326"/>
      <c r="J17" s="160"/>
      <c r="K17" s="160"/>
      <c r="L17" s="506" t="s">
        <v>154</v>
      </c>
      <c r="M17" s="507">
        <v>19</v>
      </c>
      <c r="N17" s="508">
        <v>199700</v>
      </c>
      <c r="O17" s="160"/>
      <c r="P17" s="509">
        <f t="shared" si="0"/>
        <v>16641.666666666668</v>
      </c>
      <c r="Q17" s="35"/>
      <c r="R17" s="591"/>
      <c r="S17" s="592"/>
      <c r="T17" s="599"/>
      <c r="U17" s="600"/>
      <c r="V17" s="592"/>
      <c r="W17" s="585"/>
      <c r="X17" s="585"/>
      <c r="Y17" s="585"/>
      <c r="Z17" s="607"/>
      <c r="AA17" s="160"/>
      <c r="AB17" s="35"/>
      <c r="AC17" s="35"/>
      <c r="AD17" s="35"/>
      <c r="AE17" s="35"/>
      <c r="AG17" s="110"/>
      <c r="AJ17" s="110"/>
      <c r="AK17" s="127"/>
    </row>
    <row r="18" spans="1:37">
      <c r="A18" s="64"/>
      <c r="B18" s="31"/>
      <c r="C18" s="136"/>
      <c r="D18" s="136"/>
      <c r="E18" s="402"/>
      <c r="F18" s="403"/>
      <c r="H18" s="159"/>
      <c r="I18" s="203"/>
      <c r="J18" s="457"/>
      <c r="K18" s="457"/>
      <c r="L18" s="505" t="s">
        <v>189</v>
      </c>
      <c r="M18" s="458">
        <v>20</v>
      </c>
      <c r="N18" s="459">
        <v>179700</v>
      </c>
      <c r="O18" s="457"/>
      <c r="P18" s="460">
        <f>N18/12</f>
        <v>14975</v>
      </c>
      <c r="Q18" s="35"/>
      <c r="R18" s="587" t="s">
        <v>176</v>
      </c>
      <c r="S18" s="588"/>
      <c r="T18" s="595" t="s">
        <v>173</v>
      </c>
      <c r="U18" s="596"/>
      <c r="V18" s="588"/>
      <c r="W18" s="609" t="s">
        <v>187</v>
      </c>
      <c r="X18" s="583" t="s">
        <v>175</v>
      </c>
      <c r="Y18" s="583" t="s">
        <v>178</v>
      </c>
      <c r="Z18" s="605" t="s">
        <v>166</v>
      </c>
      <c r="AA18" s="160"/>
      <c r="AB18" s="35"/>
      <c r="AC18" s="35"/>
      <c r="AD18" s="35"/>
      <c r="AE18" s="35"/>
      <c r="AG18" s="110"/>
      <c r="AJ18" s="110"/>
      <c r="AK18" s="127"/>
    </row>
    <row r="19" spans="1:37">
      <c r="A19" s="64"/>
      <c r="B19" s="31"/>
      <c r="C19" s="136"/>
      <c r="D19" s="136"/>
      <c r="E19" s="402"/>
      <c r="F19" s="403"/>
      <c r="H19" s="159"/>
      <c r="I19" s="203"/>
      <c r="J19" s="457"/>
      <c r="K19" s="457"/>
      <c r="L19" s="505" t="s">
        <v>192</v>
      </c>
      <c r="M19" s="458">
        <v>21</v>
      </c>
      <c r="N19" s="459">
        <v>221000</v>
      </c>
      <c r="O19" s="457"/>
      <c r="P19" s="460">
        <f>N19/12</f>
        <v>18416.666666666668</v>
      </c>
      <c r="Q19" s="35"/>
      <c r="R19" s="589"/>
      <c r="S19" s="590"/>
      <c r="T19" s="597"/>
      <c r="U19" s="598"/>
      <c r="V19" s="590"/>
      <c r="W19" s="610"/>
      <c r="X19" s="584"/>
      <c r="Y19" s="584"/>
      <c r="Z19" s="606"/>
      <c r="AA19" s="160"/>
      <c r="AB19" s="35"/>
      <c r="AC19" s="35"/>
      <c r="AD19" s="35"/>
      <c r="AE19" s="35"/>
      <c r="AG19" s="110"/>
      <c r="AJ19" s="110"/>
      <c r="AK19" s="127"/>
    </row>
    <row r="20" spans="1:37" ht="12.75" customHeight="1">
      <c r="A20" s="64"/>
      <c r="B20" s="31"/>
      <c r="C20" s="136"/>
      <c r="D20" s="652"/>
      <c r="E20" s="653"/>
      <c r="F20" s="654"/>
      <c r="H20" s="159"/>
      <c r="I20" s="53"/>
      <c r="J20" s="35"/>
      <c r="K20" s="35"/>
      <c r="L20" s="404"/>
      <c r="M20" s="379"/>
      <c r="N20" s="88"/>
      <c r="O20" s="35"/>
      <c r="P20" s="405"/>
      <c r="Q20" s="35"/>
      <c r="R20" s="589"/>
      <c r="S20" s="590"/>
      <c r="T20" s="597"/>
      <c r="U20" s="598"/>
      <c r="V20" s="590"/>
      <c r="W20" s="584"/>
      <c r="X20" s="584"/>
      <c r="Y20" s="584"/>
      <c r="Z20" s="606"/>
      <c r="AA20" s="160"/>
      <c r="AB20" s="35"/>
      <c r="AC20" s="35"/>
      <c r="AD20" s="35"/>
      <c r="AE20" s="35"/>
      <c r="AG20" s="110"/>
      <c r="AJ20" s="110"/>
      <c r="AK20" s="127"/>
    </row>
    <row r="21" spans="1:37" ht="12.75" customHeight="1" thickBot="1">
      <c r="A21" s="64"/>
      <c r="B21" s="31"/>
      <c r="C21" s="136" t="s">
        <v>80</v>
      </c>
      <c r="D21" s="655"/>
      <c r="E21" s="656"/>
      <c r="F21" s="657"/>
      <c r="H21" s="160"/>
      <c r="I21" s="35"/>
      <c r="J21" s="35"/>
      <c r="K21" s="35"/>
      <c r="L21" s="72"/>
      <c r="M21" s="136" t="s">
        <v>70</v>
      </c>
      <c r="N21" s="132" t="str">
        <f>IF(OR(N32&gt;Fed_Limit,N33&gt;Fed_Limit,N34&gt;Fed_Limit,N35&gt;Fed_Limit),"Yes","No")</f>
        <v>No</v>
      </c>
      <c r="O21" s="132"/>
      <c r="P21" s="80"/>
      <c r="Q21" s="132"/>
      <c r="R21" s="593"/>
      <c r="S21" s="594"/>
      <c r="T21" s="601"/>
      <c r="U21" s="602"/>
      <c r="V21" s="594"/>
      <c r="W21" s="586"/>
      <c r="X21" s="586"/>
      <c r="Y21" s="586"/>
      <c r="Z21" s="608"/>
      <c r="AA21" s="132"/>
      <c r="AB21" s="132"/>
      <c r="AC21" s="132"/>
      <c r="AD21" s="132"/>
      <c r="AE21" s="132"/>
      <c r="AG21" s="630" t="s">
        <v>36</v>
      </c>
      <c r="AH21" s="632"/>
      <c r="AI21" s="630" t="s">
        <v>34</v>
      </c>
      <c r="AJ21" s="631"/>
      <c r="AK21" s="632"/>
    </row>
    <row r="22" spans="1:37" ht="5" customHeight="1" thickBot="1">
      <c r="A22" s="153"/>
      <c r="B22" s="37"/>
      <c r="C22" s="37"/>
      <c r="D22" s="37"/>
      <c r="E22" s="37"/>
      <c r="F22" s="37"/>
      <c r="G22" s="37"/>
      <c r="H22" s="37"/>
      <c r="I22" s="37"/>
      <c r="J22" s="37"/>
      <c r="K22" s="37"/>
      <c r="L22" s="37"/>
      <c r="M22" s="37"/>
      <c r="N22" s="37"/>
      <c r="O22" s="37"/>
      <c r="P22" s="52"/>
      <c r="Q22" s="35"/>
      <c r="R22" s="35"/>
      <c r="S22" s="35"/>
      <c r="T22" s="35"/>
      <c r="U22" s="35"/>
      <c r="V22" s="35"/>
      <c r="W22" s="35"/>
      <c r="X22" s="35"/>
      <c r="Y22" s="35"/>
      <c r="Z22" s="35"/>
      <c r="AA22" s="35"/>
      <c r="AB22" s="35"/>
      <c r="AC22" s="35"/>
      <c r="AD22" s="35"/>
      <c r="AE22" s="35"/>
      <c r="AG22" s="123"/>
      <c r="AH22" s="103"/>
      <c r="AI22" s="102"/>
      <c r="AJ22" s="102"/>
      <c r="AK22" s="103"/>
    </row>
    <row r="23" spans="1:37" ht="17.25" customHeight="1" thickTop="1">
      <c r="A23" s="215"/>
      <c r="B23" s="216" t="s">
        <v>79</v>
      </c>
      <c r="C23" s="36"/>
      <c r="D23" s="36"/>
      <c r="E23" s="36"/>
      <c r="F23" s="36"/>
      <c r="G23" s="36"/>
      <c r="H23" s="36"/>
      <c r="I23" s="36"/>
      <c r="J23" s="36"/>
      <c r="K23" s="36"/>
      <c r="L23" s="36"/>
      <c r="M23" s="36"/>
      <c r="N23" s="51"/>
      <c r="O23" s="35"/>
      <c r="P23" s="35"/>
      <c r="Q23" s="35"/>
      <c r="R23" s="579" t="s">
        <v>179</v>
      </c>
      <c r="S23" s="579"/>
      <c r="T23" s="579"/>
      <c r="U23" s="579"/>
      <c r="V23" s="579"/>
      <c r="W23" s="579"/>
      <c r="X23" s="580"/>
      <c r="Y23" s="580"/>
      <c r="Z23" s="580"/>
      <c r="AA23" s="35"/>
      <c r="AB23" s="35"/>
      <c r="AC23" s="35"/>
      <c r="AD23" s="35"/>
      <c r="AE23" s="35"/>
      <c r="AG23" s="123"/>
      <c r="AH23" s="103"/>
      <c r="AI23" s="102"/>
      <c r="AJ23" s="102"/>
      <c r="AK23" s="103"/>
    </row>
    <row r="24" spans="1:37" ht="14.25" customHeight="1">
      <c r="A24" s="64"/>
      <c r="B24" s="425"/>
      <c r="D24" s="56" t="s">
        <v>65</v>
      </c>
      <c r="E24" s="35"/>
      <c r="F24" s="35"/>
      <c r="G24" s="35"/>
      <c r="H24" s="35"/>
      <c r="I24" s="35"/>
      <c r="J24" s="35"/>
      <c r="K24" s="35"/>
      <c r="L24" s="35"/>
      <c r="M24" s="35"/>
      <c r="N24" s="51"/>
      <c r="O24" s="35"/>
      <c r="P24" s="35"/>
      <c r="Q24" s="35"/>
      <c r="R24" s="581" t="s">
        <v>180</v>
      </c>
      <c r="S24" s="581"/>
      <c r="T24" s="581"/>
      <c r="U24" s="581"/>
      <c r="V24" s="581"/>
      <c r="W24" s="581"/>
      <c r="X24" s="581"/>
      <c r="Y24" s="581"/>
      <c r="Z24" s="581"/>
      <c r="AA24" s="35"/>
      <c r="AB24" s="35"/>
      <c r="AC24" s="35"/>
      <c r="AD24" s="35"/>
      <c r="AE24" s="35"/>
      <c r="AG24" s="123"/>
      <c r="AH24" s="103"/>
      <c r="AI24" s="102"/>
      <c r="AJ24" s="102"/>
      <c r="AK24" s="103"/>
    </row>
    <row r="25" spans="1:37" ht="14.25" customHeight="1">
      <c r="A25" s="64"/>
      <c r="B25" s="35"/>
      <c r="C25" s="56"/>
      <c r="D25" s="56"/>
      <c r="E25" s="412"/>
      <c r="F25" s="329" t="s">
        <v>81</v>
      </c>
      <c r="G25" s="136" t="s">
        <v>0</v>
      </c>
      <c r="H25" s="214">
        <f>IF(ISERROR(IF(E28="",E25/J36,E28)),0,IF(E28="",E25/J36,E28))</f>
        <v>0</v>
      </c>
      <c r="I25" s="35"/>
      <c r="J25" s="35"/>
      <c r="K25" s="135"/>
      <c r="L25" s="35"/>
      <c r="M25" s="35"/>
      <c r="N25" s="51"/>
      <c r="O25" s="35"/>
      <c r="P25" s="35"/>
      <c r="Q25" s="35"/>
      <c r="R25" s="582" t="s">
        <v>181</v>
      </c>
      <c r="S25" s="582"/>
      <c r="T25" s="582"/>
      <c r="U25" s="582"/>
      <c r="V25" s="582"/>
      <c r="W25" s="582"/>
      <c r="X25" s="582"/>
      <c r="Y25" s="582"/>
      <c r="Z25" s="582"/>
      <c r="AA25" s="35"/>
      <c r="AB25" s="35"/>
      <c r="AC25" s="35"/>
      <c r="AD25" s="35"/>
      <c r="AE25" s="35"/>
      <c r="AG25" s="123"/>
      <c r="AH25" s="103"/>
      <c r="AI25" s="102"/>
      <c r="AJ25" s="102"/>
      <c r="AK25" s="103"/>
    </row>
    <row r="26" spans="1:37" ht="14.25" customHeight="1">
      <c r="A26" s="256"/>
      <c r="B26" s="257"/>
      <c r="C26" s="35"/>
      <c r="D26" s="35"/>
      <c r="E26" s="35"/>
      <c r="F26" s="35"/>
      <c r="G26" s="35"/>
      <c r="H26" s="35"/>
      <c r="I26" s="35"/>
      <c r="J26" s="35"/>
      <c r="K26" s="35"/>
      <c r="L26" s="135"/>
      <c r="M26" s="35"/>
      <c r="N26" s="51"/>
      <c r="O26" s="35"/>
      <c r="P26" s="35"/>
      <c r="Q26" s="35"/>
      <c r="R26" s="35"/>
      <c r="S26" s="35"/>
      <c r="T26" s="49"/>
      <c r="U26" s="35"/>
      <c r="V26" s="136" t="s">
        <v>188</v>
      </c>
      <c r="W26" s="530" t="s">
        <v>182</v>
      </c>
      <c r="X26" s="35"/>
      <c r="Y26" s="262" t="s">
        <v>183</v>
      </c>
      <c r="Z26" s="35"/>
      <c r="AA26" s="35"/>
      <c r="AB26" s="35"/>
      <c r="AC26" s="35"/>
      <c r="AD26" s="35"/>
      <c r="AE26" s="35"/>
      <c r="AG26" s="123"/>
      <c r="AH26" s="103"/>
      <c r="AI26" s="102"/>
      <c r="AJ26" s="102"/>
      <c r="AK26" s="103"/>
    </row>
    <row r="27" spans="1:37" ht="13.5" customHeight="1">
      <c r="A27" s="255"/>
      <c r="B27" s="35"/>
      <c r="D27" s="35" t="s">
        <v>66</v>
      </c>
      <c r="E27" s="35"/>
      <c r="F27" s="35"/>
      <c r="G27" s="35"/>
      <c r="H27" s="35"/>
      <c r="I27" s="35"/>
      <c r="J27" s="35"/>
      <c r="K27" s="35"/>
      <c r="L27" s="35"/>
      <c r="M27" s="35"/>
      <c r="N27" s="51"/>
      <c r="O27" s="35"/>
      <c r="P27" s="35"/>
      <c r="Q27" s="35"/>
      <c r="R27" s="35"/>
      <c r="S27" s="35"/>
      <c r="T27" s="35"/>
      <c r="U27" s="35"/>
      <c r="V27" s="35"/>
      <c r="W27" s="35"/>
      <c r="X27" s="35"/>
      <c r="Y27" s="35"/>
      <c r="Z27" s="35"/>
      <c r="AA27" s="35"/>
      <c r="AB27" s="35"/>
      <c r="AC27" s="35"/>
      <c r="AD27" s="35"/>
      <c r="AE27" s="35"/>
      <c r="AG27" s="123"/>
      <c r="AH27" s="103"/>
      <c r="AI27" s="102"/>
      <c r="AJ27" s="102"/>
      <c r="AK27" s="103"/>
    </row>
    <row r="28" spans="1:37" ht="13.5" customHeight="1">
      <c r="A28" s="64"/>
      <c r="B28" s="35"/>
      <c r="C28" s="35"/>
      <c r="D28" s="35"/>
      <c r="E28" s="413"/>
      <c r="F28" s="213"/>
      <c r="G28" s="35" t="s">
        <v>74</v>
      </c>
      <c r="H28" s="247">
        <f>IF(ISERROR(IF(E25="",E28*J36,E25)),0,IF(E25="",E28*J36,E25))</f>
        <v>0</v>
      </c>
      <c r="I28" s="35"/>
      <c r="J28" s="35"/>
      <c r="K28" s="35"/>
      <c r="L28" s="35"/>
      <c r="M28" s="35"/>
      <c r="N28" s="51"/>
      <c r="O28" s="35"/>
      <c r="P28" s="35"/>
      <c r="Q28" s="35"/>
      <c r="R28" s="35"/>
      <c r="S28" s="35"/>
      <c r="T28" s="49"/>
      <c r="U28" s="35"/>
      <c r="V28" s="35"/>
      <c r="W28" s="35"/>
      <c r="X28" s="35"/>
      <c r="Y28" s="35"/>
      <c r="Z28" s="35"/>
      <c r="AA28" s="35"/>
      <c r="AB28" s="35"/>
      <c r="AC28" s="35"/>
      <c r="AD28" s="35"/>
      <c r="AE28" s="35"/>
      <c r="AG28" s="123"/>
      <c r="AH28" s="103"/>
      <c r="AI28" s="102"/>
      <c r="AJ28" s="102"/>
      <c r="AK28" s="103"/>
    </row>
    <row r="29" spans="1:37" ht="13" thickBot="1">
      <c r="A29" s="153"/>
      <c r="B29" s="217"/>
      <c r="C29" s="217"/>
      <c r="D29" s="217"/>
      <c r="E29" s="246"/>
      <c r="F29" s="37"/>
      <c r="G29" s="37"/>
      <c r="H29" s="37"/>
      <c r="I29" s="37"/>
      <c r="J29" s="37"/>
      <c r="K29" s="37"/>
      <c r="L29" s="37"/>
      <c r="M29" s="37"/>
      <c r="N29" s="52"/>
      <c r="AG29" s="124" t="s">
        <v>32</v>
      </c>
      <c r="AH29" s="104" t="s">
        <v>37</v>
      </c>
      <c r="AI29" s="120" t="s">
        <v>38</v>
      </c>
      <c r="AJ29" s="122" t="s">
        <v>35</v>
      </c>
      <c r="AK29" s="121" t="s">
        <v>33</v>
      </c>
    </row>
    <row r="30" spans="1:37" ht="13" thickTop="1">
      <c r="A30" s="64"/>
      <c r="B30" s="35"/>
      <c r="D30" s="146" t="s">
        <v>43</v>
      </c>
      <c r="E30" s="414"/>
      <c r="F30" s="261" t="s">
        <v>81</v>
      </c>
      <c r="G30" s="161"/>
      <c r="H30" s="161"/>
      <c r="I30" s="275"/>
      <c r="J30" s="141" t="s">
        <v>42</v>
      </c>
      <c r="K30" s="93"/>
      <c r="L30" s="93"/>
      <c r="M30" s="93"/>
      <c r="N30" s="142"/>
      <c r="O30" s="86" t="s">
        <v>40</v>
      </c>
      <c r="P30" s="86"/>
      <c r="Q30" s="86"/>
      <c r="R30" s="86"/>
      <c r="S30" s="86"/>
      <c r="T30" s="86"/>
      <c r="U30" s="86"/>
      <c r="V30" s="86"/>
      <c r="W30" s="86"/>
      <c r="X30" s="86"/>
      <c r="Y30" s="86"/>
      <c r="Z30" s="86"/>
      <c r="AA30" s="86"/>
      <c r="AB30" s="86"/>
      <c r="AC30" s="86"/>
      <c r="AD30" s="86"/>
      <c r="AE30" s="86"/>
      <c r="AG30" s="113" t="s">
        <v>141</v>
      </c>
      <c r="AH30" s="106">
        <f t="array" ref="AH30">SUM(IF($A$41:$A$61&lt;&gt;"x",$J$41:$J$61,0))</f>
        <v>0</v>
      </c>
      <c r="AI30" s="116">
        <f>AH30*$N$35</f>
        <v>0</v>
      </c>
      <c r="AJ30" s="116">
        <f>AJ83*Fed_Limit</f>
        <v>0</v>
      </c>
      <c r="AK30" s="84">
        <f>AK83*12</f>
        <v>0</v>
      </c>
    </row>
    <row r="31" spans="1:37" ht="13">
      <c r="A31" s="64"/>
      <c r="B31" s="35"/>
      <c r="D31" s="136" t="s">
        <v>1</v>
      </c>
      <c r="E31" s="415"/>
      <c r="F31" s="261" t="s">
        <v>81</v>
      </c>
      <c r="H31" s="162"/>
      <c r="I31" s="56"/>
      <c r="J31" s="462" t="s">
        <v>141</v>
      </c>
      <c r="K31" s="57" t="s">
        <v>3</v>
      </c>
      <c r="L31" s="57" t="s">
        <v>4</v>
      </c>
      <c r="M31" s="57" t="s">
        <v>5</v>
      </c>
      <c r="N31" s="58" t="s">
        <v>6</v>
      </c>
      <c r="O31" s="132"/>
      <c r="P31" s="132"/>
      <c r="Q31" s="132"/>
      <c r="R31" s="132"/>
      <c r="S31" s="132"/>
      <c r="T31" s="132"/>
      <c r="U31" s="132"/>
      <c r="V31" s="132"/>
      <c r="W31" s="132"/>
      <c r="X31" s="132"/>
      <c r="Y31" s="132"/>
      <c r="Z31" s="132"/>
      <c r="AA31" s="132"/>
      <c r="AB31" s="132"/>
      <c r="AC31" s="132"/>
      <c r="AD31" s="132"/>
      <c r="AE31" s="132"/>
      <c r="AG31" s="114" t="s">
        <v>3</v>
      </c>
      <c r="AH31" s="107">
        <f t="array" ref="AH31">SUM(IF($A$41:$A$61&lt;&gt;"x",$K$41:$K$61,0))</f>
        <v>0</v>
      </c>
      <c r="AI31" s="117">
        <f>AH31*$N$35</f>
        <v>0</v>
      </c>
      <c r="AJ31" s="117">
        <f>AJ84*Fed_Limit</f>
        <v>0</v>
      </c>
      <c r="AK31" s="99">
        <f>AK84*12</f>
        <v>0</v>
      </c>
    </row>
    <row r="32" spans="1:37">
      <c r="A32" s="281"/>
      <c r="B32" s="56"/>
      <c r="D32" s="136" t="s">
        <v>86</v>
      </c>
      <c r="E32" s="416"/>
      <c r="F32" s="261" t="s">
        <v>81</v>
      </c>
      <c r="H32" s="162"/>
      <c r="I32" s="56"/>
      <c r="J32" s="276">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W32" s="132"/>
      <c r="X32" s="132"/>
      <c r="Y32" s="132"/>
      <c r="Z32" s="132"/>
      <c r="AA32" s="132"/>
      <c r="AB32" s="132"/>
      <c r="AC32" s="132"/>
      <c r="AD32" s="132"/>
      <c r="AE32" s="132"/>
      <c r="AG32" s="114"/>
      <c r="AH32" s="107"/>
      <c r="AI32" s="117"/>
      <c r="AJ32" s="117"/>
      <c r="AK32" s="99"/>
    </row>
    <row r="33" spans="1:38">
      <c r="A33" s="64"/>
      <c r="B33" s="35"/>
      <c r="D33" s="136" t="s">
        <v>67</v>
      </c>
      <c r="E33" s="416"/>
      <c r="F33" s="162"/>
      <c r="G33" s="162"/>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W33" s="49"/>
      <c r="X33" s="49"/>
      <c r="Y33" s="49"/>
      <c r="Z33" s="49"/>
      <c r="AA33" s="49"/>
      <c r="AB33" s="49"/>
      <c r="AC33" s="49"/>
      <c r="AD33" s="49"/>
      <c r="AE33" s="49"/>
      <c r="AG33" s="114" t="s">
        <v>4</v>
      </c>
      <c r="AH33" s="107">
        <f t="array" ref="AH33">SUM(IF($A$41:$A$61&lt;&gt;"x",$L$41:$L$61,0))</f>
        <v>0</v>
      </c>
      <c r="AI33" s="117">
        <f>AH33*$N$35</f>
        <v>0</v>
      </c>
      <c r="AJ33" s="117">
        <f>AJ85*Fed_Limit</f>
        <v>0</v>
      </c>
      <c r="AK33" s="99">
        <f>AK85*12</f>
        <v>0</v>
      </c>
    </row>
    <row r="34" spans="1:38">
      <c r="A34" s="64"/>
      <c r="B34" s="35"/>
      <c r="D34" s="136" t="s">
        <v>68</v>
      </c>
      <c r="E34" s="416"/>
      <c r="F34" s="162"/>
      <c r="G34" s="162"/>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W34" s="49"/>
      <c r="X34" s="49"/>
      <c r="Y34" s="49"/>
      <c r="Z34" s="49"/>
      <c r="AA34" s="49"/>
      <c r="AB34" s="49"/>
      <c r="AC34" s="49"/>
      <c r="AD34" s="49"/>
      <c r="AE34" s="49"/>
      <c r="AG34" s="115" t="s">
        <v>5</v>
      </c>
      <c r="AH34" s="108">
        <f t="array" ref="AH34">SUM(IF($A$41:$A$61&lt;&gt;"x",$M$41:$M$61,0))</f>
        <v>0</v>
      </c>
      <c r="AI34" s="118">
        <f>AH34*$N$35</f>
        <v>0</v>
      </c>
      <c r="AJ34" s="118">
        <f>AJ86*Fed_Limit</f>
        <v>0</v>
      </c>
      <c r="AK34" s="101">
        <f>AK86*12</f>
        <v>0</v>
      </c>
    </row>
    <row r="35" spans="1:38" ht="13" thickBot="1">
      <c r="A35" s="153"/>
      <c r="B35" s="37"/>
      <c r="C35" s="37"/>
      <c r="D35" s="164" t="s">
        <v>69</v>
      </c>
      <c r="E35" s="417"/>
      <c r="F35" s="163"/>
      <c r="G35" s="163"/>
      <c r="H35" s="163"/>
      <c r="I35" s="61"/>
      <c r="J35" s="40">
        <f>IF(Prof= "",0,VLOOKUP(Prof,professor,2))</f>
        <v>0</v>
      </c>
      <c r="K35" s="48">
        <f>SUM(Prof_Tot_HST)</f>
        <v>0</v>
      </c>
      <c r="L35" s="48">
        <f>IF(Scale&gt;=4,SUM(Prof_Tot_HSR),0)</f>
        <v>0</v>
      </c>
      <c r="M35" s="41">
        <f>(N35-(Prof_Base+SUM(Prof_Tot_HST)+SUM(Prof_Tot_HSR)))</f>
        <v>0</v>
      </c>
      <c r="N35" s="219">
        <f>J35*H25</f>
        <v>0</v>
      </c>
      <c r="O35" s="130"/>
      <c r="P35" s="130"/>
      <c r="Q35" s="130"/>
      <c r="R35" s="130"/>
      <c r="S35" s="130"/>
      <c r="T35" s="130"/>
      <c r="U35" s="130"/>
      <c r="V35" s="130"/>
      <c r="W35" s="130"/>
      <c r="X35" s="130"/>
      <c r="Y35" s="130"/>
      <c r="Z35" s="130"/>
      <c r="AA35" s="130"/>
      <c r="AB35" s="130"/>
      <c r="AC35" s="130"/>
      <c r="AD35" s="130"/>
      <c r="AE35" s="130"/>
      <c r="AG35" s="125" t="s">
        <v>6</v>
      </c>
      <c r="AH35" s="126">
        <f>SUM(AH30:AH34)</f>
        <v>0</v>
      </c>
      <c r="AI35" s="119">
        <f>SUM(AI30:AI34)</f>
        <v>0</v>
      </c>
      <c r="AJ35" s="119">
        <f>SUM(AJ30:AJ34)</f>
        <v>0</v>
      </c>
      <c r="AK35" s="105">
        <f>SUM(AK30:AK34)</f>
        <v>0</v>
      </c>
    </row>
    <row r="36" spans="1:38"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W36" s="49"/>
      <c r="X36" s="49"/>
      <c r="Y36" s="49"/>
      <c r="Z36" s="49"/>
      <c r="AA36" s="49"/>
      <c r="AB36" s="49"/>
      <c r="AC36" s="49"/>
      <c r="AD36" s="49"/>
      <c r="AE36" s="49"/>
      <c r="AG36" s="8" t="s">
        <v>6</v>
      </c>
      <c r="AH36" s="109"/>
      <c r="AI36" s="100"/>
      <c r="AJ36" s="101"/>
      <c r="AK36" s="105"/>
    </row>
    <row r="37" spans="1:38">
      <c r="B37" s="263"/>
      <c r="C37" s="35"/>
      <c r="D37" s="35"/>
      <c r="E37" s="35"/>
      <c r="F37" s="35"/>
      <c r="G37" s="35"/>
      <c r="H37" s="62"/>
      <c r="I37" s="236" t="s">
        <v>72</v>
      </c>
      <c r="J37" s="239">
        <f>J36/12</f>
        <v>0</v>
      </c>
      <c r="K37" s="239">
        <f>K36/12</f>
        <v>0</v>
      </c>
      <c r="L37" s="239">
        <f>L36/12</f>
        <v>0</v>
      </c>
      <c r="M37" s="239">
        <f>M36/12</f>
        <v>0</v>
      </c>
      <c r="N37" s="239">
        <f>N36/12</f>
        <v>0</v>
      </c>
      <c r="O37" s="131"/>
      <c r="P37" s="131"/>
      <c r="Q37" s="131"/>
      <c r="R37" s="131"/>
      <c r="S37" s="131"/>
      <c r="T37" s="131"/>
      <c r="U37" s="131"/>
      <c r="V37" s="131"/>
      <c r="W37" s="131"/>
      <c r="X37" s="131"/>
      <c r="Y37" s="131"/>
      <c r="Z37" s="131"/>
      <c r="AA37" s="131"/>
      <c r="AB37" s="131"/>
      <c r="AC37" s="131"/>
      <c r="AD37" s="131"/>
      <c r="AE37" s="131"/>
      <c r="AG37" s="35"/>
      <c r="AH37" s="49"/>
      <c r="AI37" s="49"/>
      <c r="AJ37" s="49"/>
      <c r="AK37" s="130"/>
    </row>
    <row r="38" spans="1:38" ht="13" thickBot="1">
      <c r="A38" s="262" t="s">
        <v>81</v>
      </c>
      <c r="G38" s="373"/>
      <c r="I38" s="371" t="s">
        <v>117</v>
      </c>
      <c r="J38" s="372">
        <f>ROUND(IF(N36&gt;0,J36/N36*E30,0),4)</f>
        <v>0</v>
      </c>
      <c r="K38" s="372">
        <f>ROUND(IF(N36&gt;0,K36/N36*E30,0),4)</f>
        <v>0</v>
      </c>
      <c r="L38" s="372">
        <f>ROUND(IF(N36&gt;0,L36/N36*E30,0),4)</f>
        <v>0</v>
      </c>
      <c r="M38" s="372">
        <f>SUM(N38-L38-K38-J38)</f>
        <v>0</v>
      </c>
      <c r="N38" s="372">
        <f>E30</f>
        <v>0</v>
      </c>
      <c r="P38" s="262" t="s">
        <v>81</v>
      </c>
      <c r="Q38" s="137"/>
      <c r="R38" s="137"/>
      <c r="S38" s="137"/>
      <c r="T38" s="137"/>
      <c r="U38" s="137"/>
      <c r="V38" s="137"/>
      <c r="W38" s="137"/>
      <c r="X38" s="137"/>
      <c r="Y38" s="137"/>
      <c r="Z38" s="137"/>
      <c r="AA38" s="137"/>
      <c r="AB38" s="137"/>
      <c r="AC38" s="137"/>
      <c r="AD38" s="137"/>
      <c r="AE38" s="137"/>
      <c r="AL38" s="54"/>
    </row>
    <row r="39" spans="1:38" ht="13" thickBot="1">
      <c r="A39" s="245" t="s">
        <v>49</v>
      </c>
      <c r="B39" s="166"/>
      <c r="C39" s="144"/>
      <c r="D39" s="147"/>
      <c r="E39" s="145"/>
      <c r="F39" s="10"/>
      <c r="G39" s="10"/>
      <c r="H39" s="10"/>
      <c r="I39" s="11"/>
      <c r="J39" s="147" t="s">
        <v>7</v>
      </c>
      <c r="K39" s="10"/>
      <c r="L39" s="10"/>
      <c r="M39" s="11"/>
      <c r="N39" s="20"/>
      <c r="O39" s="35"/>
      <c r="P39" s="527" t="s">
        <v>87</v>
      </c>
      <c r="Q39" s="44"/>
      <c r="R39" s="44"/>
      <c r="S39" s="44"/>
      <c r="T39" s="528"/>
      <c r="U39" s="522"/>
      <c r="V39" s="522"/>
      <c r="W39" s="522"/>
      <c r="X39" s="522"/>
      <c r="Y39" s="522"/>
      <c r="Z39" s="522"/>
      <c r="AA39" s="522"/>
      <c r="AB39" s="522"/>
      <c r="AC39" s="522"/>
      <c r="AD39" s="522"/>
      <c r="AE39" s="86"/>
      <c r="AF39" s="133" t="s">
        <v>40</v>
      </c>
      <c r="AG39" s="86" t="s">
        <v>40</v>
      </c>
      <c r="AH39" s="6"/>
      <c r="AI39" s="6"/>
      <c r="AJ39" s="6"/>
      <c r="AK39" s="5"/>
    </row>
    <row r="40" spans="1:38" ht="40.5" customHeight="1" thickBot="1">
      <c r="A40" s="230" t="s">
        <v>46</v>
      </c>
      <c r="B40" s="231" t="s">
        <v>152</v>
      </c>
      <c r="C40" s="232" t="s">
        <v>51</v>
      </c>
      <c r="D40" s="232" t="s">
        <v>130</v>
      </c>
      <c r="E40" s="233" t="s">
        <v>50</v>
      </c>
      <c r="F40" s="234" t="s">
        <v>47</v>
      </c>
      <c r="G40" s="234" t="s">
        <v>89</v>
      </c>
      <c r="H40" s="234" t="s">
        <v>88</v>
      </c>
      <c r="I40" s="235" t="s">
        <v>48</v>
      </c>
      <c r="J40" s="463" t="s">
        <v>142</v>
      </c>
      <c r="K40" s="59" t="s">
        <v>3</v>
      </c>
      <c r="L40" s="59" t="s">
        <v>4</v>
      </c>
      <c r="M40" s="60" t="s">
        <v>5</v>
      </c>
      <c r="N40" s="227" t="s">
        <v>9</v>
      </c>
      <c r="O40" s="133" t="s">
        <v>40</v>
      </c>
      <c r="P40" s="523" t="s">
        <v>143</v>
      </c>
      <c r="Q40" s="524" t="s">
        <v>16</v>
      </c>
      <c r="R40" s="524" t="s">
        <v>41</v>
      </c>
      <c r="S40" s="525" t="s">
        <v>17</v>
      </c>
      <c r="T40" s="526" t="s">
        <v>6</v>
      </c>
      <c r="U40" s="133"/>
      <c r="V40" s="133"/>
      <c r="W40" s="133"/>
      <c r="X40" s="133"/>
      <c r="Y40" s="133"/>
      <c r="Z40" s="133"/>
      <c r="AA40" s="133"/>
      <c r="AB40" s="133"/>
      <c r="AC40" s="133"/>
      <c r="AD40" s="133"/>
      <c r="AE40" s="133"/>
      <c r="AH40" s="4" t="s">
        <v>11</v>
      </c>
      <c r="AI40" s="6"/>
      <c r="AJ40" s="6"/>
      <c r="AK40" s="5"/>
    </row>
    <row r="41" spans="1:38" ht="2.25" customHeight="1" thickBot="1">
      <c r="A41" s="169"/>
      <c r="B41" s="17"/>
      <c r="C41" s="35"/>
      <c r="D41" s="35"/>
      <c r="E41" s="35"/>
      <c r="F41" s="35"/>
      <c r="G41" s="35"/>
      <c r="H41" s="35"/>
      <c r="I41" s="149"/>
      <c r="J41" s="172"/>
      <c r="K41" s="173"/>
      <c r="L41" s="173"/>
      <c r="M41" s="173"/>
      <c r="N41" s="56"/>
      <c r="O41" s="56"/>
      <c r="P41" s="521"/>
      <c r="Q41" s="224"/>
      <c r="R41" s="224"/>
      <c r="S41" s="224"/>
      <c r="T41" s="286"/>
      <c r="U41" s="56"/>
      <c r="V41" s="56"/>
      <c r="W41" s="56"/>
      <c r="X41" s="56"/>
      <c r="Y41" s="56"/>
      <c r="Z41" s="56"/>
      <c r="AA41" s="56"/>
      <c r="AB41" s="56"/>
      <c r="AC41" s="56"/>
      <c r="AD41" s="56"/>
      <c r="AE41" s="56"/>
      <c r="AF41" s="1"/>
    </row>
    <row r="42" spans="1:38">
      <c r="A42" s="410"/>
      <c r="B42" s="418"/>
      <c r="C42" s="413"/>
      <c r="D42" s="422"/>
      <c r="E42" s="413"/>
      <c r="F42" s="419"/>
      <c r="G42" s="420"/>
      <c r="H42" s="168">
        <f>IF(ISERROR(IF(A42="",I42*(Annual_Salary/12),I42*(VLOOKUP(A42,SalaryLimits,2,FALSE))/12)),0,IF(A42="",I42*(Annual_Salary/12),I42*(VLOOKUP(A42,SalaryLimits,2,FALSE))/12))</f>
        <v>0</v>
      </c>
      <c r="I42" s="348">
        <f>IF(ISERROR(ROUND(IF(AND(F42="",A42=""),G42/(Annual_Salary/12),IF(AND(F42="",A42&lt;&gt;""),G42/(VLOOKUP(A42,SalaryLimits,2,FALSE)/12),F42)),4)),0,ROUND(IF(AND(F42="",A42=""),G42/(Annual_Salary/12),IF(AND(F42="",A42&lt;&gt;""),G42/(VLOOKUP(A42,SalaryLimits,2,FALSE)/12),F42)),4))</f>
        <v>0</v>
      </c>
      <c r="J42" s="170">
        <f t="shared" ref="J42:J50" si="1">IF(ISERROR(IF(I42&lt;J78,I42,J78)),0,IF(I42&lt;J78,I42,J78))</f>
        <v>0</v>
      </c>
      <c r="K42" s="115">
        <f t="shared" ref="K42:K61" si="2">IF(ISERROR(IF(AH42&lt;K78,AH42,K78)),0,IF(AH42&lt;K78,AH42,K78))</f>
        <v>0</v>
      </c>
      <c r="L42" s="115">
        <f t="shared" ref="L42:L61" si="3">IF(ISERROR(IF(AI42&lt;L78,AI42,L78)),0,IF(AI42&lt;L78,AI42,L78))</f>
        <v>0</v>
      </c>
      <c r="M42" s="171">
        <f t="shared" ref="M42:M61" si="4">IF(ISERROR(IF(AJ42&lt;M78,AJ42,M78)),0,IF(AJ42&lt;M78,AJ42,M78))</f>
        <v>0</v>
      </c>
      <c r="N42" s="228">
        <f t="shared" ref="N42:N61" si="5">SUM(J42:M42)</f>
        <v>0</v>
      </c>
      <c r="O42" s="111"/>
      <c r="P42" s="138">
        <f>IF(OR(OverCAP="No",A42=""),0,(J42*(Annual_Salary/12))-(J42*(VLOOKUP(A42,SalaryLimits,2,FALSE)/12)))</f>
        <v>0</v>
      </c>
      <c r="Q42" s="138">
        <f>IF(OR(OverCAP="No",A42=""),0,(K42*(Annual_Salary/12))-(K42*(VLOOKUP(A42,SalaryLimits,2,FALSE)/12)))</f>
        <v>0</v>
      </c>
      <c r="R42" s="138">
        <f>IF(OR(OverCAP="No",A42=""),0,(L42*(Annual_Salary/12))-(L42*(VLOOKUP(A42,SalaryLimits,2,FALSE)/12)))</f>
        <v>0</v>
      </c>
      <c r="S42" s="138">
        <f>IF(OR(OverCAP="No",A42=""),0,(M42*(Annual_Salary/12))-(M42*(VLOOKUP(A42,SalaryLimits,2,FALSE)/12)))</f>
        <v>0</v>
      </c>
      <c r="T42" s="355">
        <f>SUM(P42:S42)</f>
        <v>0</v>
      </c>
      <c r="U42" s="220"/>
      <c r="V42" s="220"/>
      <c r="W42" s="220"/>
      <c r="X42" s="220"/>
      <c r="Y42" s="220"/>
      <c r="Z42" s="220"/>
      <c r="AA42" s="220"/>
      <c r="AB42" s="220"/>
      <c r="AC42" s="220"/>
      <c r="AD42" s="220"/>
      <c r="AE42" s="220"/>
      <c r="AF42" s="1"/>
      <c r="AH42" s="68">
        <f t="shared" ref="AH42:AH61" si="6">I42-J42</f>
        <v>0</v>
      </c>
      <c r="AI42" s="69">
        <f t="shared" ref="AI42:AI61" si="7">I42-J42-K42</f>
        <v>0</v>
      </c>
      <c r="AJ42" s="70">
        <f t="shared" ref="AJ42:AJ61" si="8">I42-J42-K42-L42</f>
        <v>0</v>
      </c>
      <c r="AK42" s="69">
        <f t="shared" ref="AK42:AK61" si="9">I42-J42-K42-L42-M42</f>
        <v>0</v>
      </c>
    </row>
    <row r="43" spans="1:38">
      <c r="A43" s="411"/>
      <c r="B43" s="418"/>
      <c r="C43" s="413"/>
      <c r="D43" s="422"/>
      <c r="E43" s="413"/>
      <c r="F43" s="419"/>
      <c r="G43" s="421"/>
      <c r="H43" s="168">
        <f>IF(ISERROR(IF(A43="",I43*(Annual_Salary/12),I43*(VLOOKUP(A43,SalaryLimits,2,FALSE))/12)),0,IF(A43="",I43*(Annual_Salary/12),I43*(VLOOKUP(A43,SalaryLimits,2,FALSE))/12))</f>
        <v>0</v>
      </c>
      <c r="I43" s="348">
        <f t="shared" ref="I43:I60" si="10">IF(ISERROR(ROUND(IF(AND(F43="",A43=""),G43/(Annual_Salary/12),IF(AND(F43="",A43&lt;&gt;""),G43/(VLOOKUP(A43,SalaryLimits,2,FALSE)/12),F43)),4)),0,ROUND(IF(AND(F43="",A43=""),G43/(Annual_Salary/12),IF(AND(F43="",A43&lt;&gt;""),G43/(VLOOKUP(A43,SalaryLimits,2,FALSE)/12),F43)),4))</f>
        <v>0</v>
      </c>
      <c r="J43" s="148">
        <f t="shared" si="1"/>
        <v>0</v>
      </c>
      <c r="K43" s="65">
        <f t="shared" si="2"/>
        <v>0</v>
      </c>
      <c r="L43" s="65">
        <f t="shared" si="3"/>
        <v>0</v>
      </c>
      <c r="M43" s="66">
        <f t="shared" si="4"/>
        <v>0</v>
      </c>
      <c r="N43" s="229">
        <f t="shared" si="5"/>
        <v>0</v>
      </c>
      <c r="O43" s="111"/>
      <c r="P43" s="225">
        <f t="shared" ref="P43:P60" si="11">IF(OR(OverCAP="No",A43=""),0,(J43*(Annual_Salary/12))-(J43*(VLOOKUP(A43,SalaryLimits,2,FALSE)/12)))</f>
        <v>0</v>
      </c>
      <c r="Q43" s="226">
        <f t="shared" ref="Q43:Q60" si="12">IF(OR(OverCAP="No",A43=""),0,(K43*(Annual_Salary/12))-(K43*(VLOOKUP(A43,SalaryLimits,2,FALSE)/12)))</f>
        <v>0</v>
      </c>
      <c r="R43" s="226">
        <f t="shared" ref="R43:R60" si="13">IF(OR(OverCAP="No",A43=""),0,(L43*(Annual_Salary/12))-(L43*(VLOOKUP(A43,SalaryLimits,2,FALSE)/12)))</f>
        <v>0</v>
      </c>
      <c r="S43" s="226">
        <f t="shared" ref="S43:S60" si="14">IF(OR(OverCAP="No",A43=""),0,(M43*(Annual_Salary/12))-(M43*(VLOOKUP(A43,SalaryLimits,2,FALSE)/12)))</f>
        <v>0</v>
      </c>
      <c r="T43" s="355">
        <f t="shared" ref="T43:T61" si="15">SUM(P43:S43)</f>
        <v>0</v>
      </c>
      <c r="U43" s="220"/>
      <c r="V43" s="220"/>
      <c r="W43" s="220"/>
      <c r="X43" s="220"/>
      <c r="Y43" s="220"/>
      <c r="Z43" s="220"/>
      <c r="AA43" s="220"/>
      <c r="AB43" s="220"/>
      <c r="AC43" s="220"/>
      <c r="AD43" s="220"/>
      <c r="AE43" s="220"/>
      <c r="AF43" s="1"/>
      <c r="AH43" s="68">
        <f t="shared" si="6"/>
        <v>0</v>
      </c>
      <c r="AI43" s="69">
        <f t="shared" si="7"/>
        <v>0</v>
      </c>
      <c r="AJ43" s="70">
        <f t="shared" si="8"/>
        <v>0</v>
      </c>
      <c r="AK43" s="69">
        <f t="shared" si="9"/>
        <v>0</v>
      </c>
    </row>
    <row r="44" spans="1:38">
      <c r="A44" s="410"/>
      <c r="B44" s="418"/>
      <c r="C44" s="413"/>
      <c r="D44" s="422"/>
      <c r="E44" s="413"/>
      <c r="F44" s="419"/>
      <c r="G44" s="421"/>
      <c r="H44" s="168">
        <f t="shared" ref="H44:H60" si="16">IF(ISERROR(IF(A44="",I44*(Annual_Salary/12),I44*(VLOOKUP(A44,SalaryLimits,2,FALSE))/12)),0,IF(A44="",I44*(Annual_Salary/12),I44*(VLOOKUP(A44,SalaryLimits,2,FALSE))/12))</f>
        <v>0</v>
      </c>
      <c r="I44" s="348">
        <f t="shared" si="10"/>
        <v>0</v>
      </c>
      <c r="J44" s="148">
        <f t="shared" si="1"/>
        <v>0</v>
      </c>
      <c r="K44" s="65">
        <f t="shared" si="2"/>
        <v>0</v>
      </c>
      <c r="L44" s="65">
        <f t="shared" si="3"/>
        <v>0</v>
      </c>
      <c r="M44" s="66">
        <f t="shared" si="4"/>
        <v>0</v>
      </c>
      <c r="N44" s="229">
        <f t="shared" si="5"/>
        <v>0</v>
      </c>
      <c r="O44" s="111"/>
      <c r="P44" s="225">
        <f t="shared" si="11"/>
        <v>0</v>
      </c>
      <c r="Q44" s="226">
        <f t="shared" si="12"/>
        <v>0</v>
      </c>
      <c r="R44" s="226">
        <f t="shared" si="13"/>
        <v>0</v>
      </c>
      <c r="S44" s="226">
        <f t="shared" si="14"/>
        <v>0</v>
      </c>
      <c r="T44" s="355">
        <f t="shared" si="15"/>
        <v>0</v>
      </c>
      <c r="U44" s="220"/>
      <c r="V44" s="220"/>
      <c r="W44" s="220"/>
      <c r="X44" s="220"/>
      <c r="Y44" s="220"/>
      <c r="Z44" s="220"/>
      <c r="AA44" s="220"/>
      <c r="AB44" s="220"/>
      <c r="AC44" s="220"/>
      <c r="AD44" s="220"/>
      <c r="AE44" s="220"/>
      <c r="AF44" s="1"/>
      <c r="AH44" s="68">
        <f t="shared" si="6"/>
        <v>0</v>
      </c>
      <c r="AI44" s="69">
        <f t="shared" si="7"/>
        <v>0</v>
      </c>
      <c r="AJ44" s="70">
        <f t="shared" si="8"/>
        <v>0</v>
      </c>
      <c r="AK44" s="69">
        <f t="shared" si="9"/>
        <v>0</v>
      </c>
    </row>
    <row r="45" spans="1:38">
      <c r="A45" s="410"/>
      <c r="B45" s="418"/>
      <c r="C45" s="413"/>
      <c r="D45" s="422"/>
      <c r="E45" s="413"/>
      <c r="F45" s="419"/>
      <c r="G45" s="421"/>
      <c r="H45" s="168">
        <f t="shared" si="16"/>
        <v>0</v>
      </c>
      <c r="I45" s="348">
        <f t="shared" si="10"/>
        <v>0</v>
      </c>
      <c r="J45" s="148">
        <f t="shared" si="1"/>
        <v>0</v>
      </c>
      <c r="K45" s="65">
        <f t="shared" si="2"/>
        <v>0</v>
      </c>
      <c r="L45" s="65">
        <f t="shared" si="3"/>
        <v>0</v>
      </c>
      <c r="M45" s="66">
        <f t="shared" si="4"/>
        <v>0</v>
      </c>
      <c r="N45" s="229">
        <f t="shared" si="5"/>
        <v>0</v>
      </c>
      <c r="O45" s="111"/>
      <c r="P45" s="225">
        <f t="shared" si="11"/>
        <v>0</v>
      </c>
      <c r="Q45" s="226">
        <f t="shared" si="12"/>
        <v>0</v>
      </c>
      <c r="R45" s="226">
        <f t="shared" si="13"/>
        <v>0</v>
      </c>
      <c r="S45" s="226">
        <f t="shared" si="14"/>
        <v>0</v>
      </c>
      <c r="T45" s="355">
        <f t="shared" si="15"/>
        <v>0</v>
      </c>
      <c r="U45" s="220"/>
      <c r="V45" s="220"/>
      <c r="W45" s="220"/>
      <c r="X45" s="220"/>
      <c r="Y45" s="220"/>
      <c r="Z45" s="220"/>
      <c r="AA45" s="220"/>
      <c r="AB45" s="220"/>
      <c r="AC45" s="220"/>
      <c r="AD45" s="220"/>
      <c r="AE45" s="220"/>
      <c r="AF45" s="1"/>
      <c r="AH45" s="68">
        <f t="shared" si="6"/>
        <v>0</v>
      </c>
      <c r="AI45" s="69">
        <f t="shared" si="7"/>
        <v>0</v>
      </c>
      <c r="AJ45" s="70">
        <f t="shared" si="8"/>
        <v>0</v>
      </c>
      <c r="AK45" s="69">
        <f t="shared" si="9"/>
        <v>0</v>
      </c>
    </row>
    <row r="46" spans="1:38">
      <c r="A46" s="410"/>
      <c r="B46" s="418"/>
      <c r="C46" s="413"/>
      <c r="D46" s="422"/>
      <c r="E46" s="413"/>
      <c r="F46" s="419"/>
      <c r="G46" s="421"/>
      <c r="H46" s="168">
        <f t="shared" si="16"/>
        <v>0</v>
      </c>
      <c r="I46" s="348">
        <f t="shared" si="10"/>
        <v>0</v>
      </c>
      <c r="J46" s="148">
        <f t="shared" si="1"/>
        <v>0</v>
      </c>
      <c r="K46" s="65">
        <f t="shared" si="2"/>
        <v>0</v>
      </c>
      <c r="L46" s="65">
        <f t="shared" si="3"/>
        <v>0</v>
      </c>
      <c r="M46" s="66">
        <f t="shared" si="4"/>
        <v>0</v>
      </c>
      <c r="N46" s="229">
        <f t="shared" si="5"/>
        <v>0</v>
      </c>
      <c r="O46" s="111"/>
      <c r="P46" s="225">
        <f t="shared" si="11"/>
        <v>0</v>
      </c>
      <c r="Q46" s="226">
        <f t="shared" si="12"/>
        <v>0</v>
      </c>
      <c r="R46" s="226">
        <f t="shared" si="13"/>
        <v>0</v>
      </c>
      <c r="S46" s="226">
        <f t="shared" si="14"/>
        <v>0</v>
      </c>
      <c r="T46" s="355">
        <f t="shared" si="15"/>
        <v>0</v>
      </c>
      <c r="U46" s="220"/>
      <c r="V46" s="220"/>
      <c r="W46" s="220"/>
      <c r="X46" s="220"/>
      <c r="Y46" s="220"/>
      <c r="Z46" s="220"/>
      <c r="AA46" s="220"/>
      <c r="AB46" s="220"/>
      <c r="AC46" s="220"/>
      <c r="AD46" s="220"/>
      <c r="AE46" s="220"/>
      <c r="AF46" s="1"/>
      <c r="AH46" s="68">
        <f t="shared" si="6"/>
        <v>0</v>
      </c>
      <c r="AI46" s="69">
        <f t="shared" si="7"/>
        <v>0</v>
      </c>
      <c r="AJ46" s="70">
        <f t="shared" si="8"/>
        <v>0</v>
      </c>
      <c r="AK46" s="69">
        <f t="shared" si="9"/>
        <v>0</v>
      </c>
    </row>
    <row r="47" spans="1:38">
      <c r="A47" s="410"/>
      <c r="B47" s="418"/>
      <c r="C47" s="413"/>
      <c r="D47" s="422"/>
      <c r="E47" s="413"/>
      <c r="F47" s="419"/>
      <c r="G47" s="421"/>
      <c r="H47" s="168">
        <f t="shared" si="16"/>
        <v>0</v>
      </c>
      <c r="I47" s="348">
        <f t="shared" si="10"/>
        <v>0</v>
      </c>
      <c r="J47" s="148">
        <f t="shared" si="1"/>
        <v>0</v>
      </c>
      <c r="K47" s="65">
        <f t="shared" si="2"/>
        <v>0</v>
      </c>
      <c r="L47" s="65">
        <f t="shared" si="3"/>
        <v>0</v>
      </c>
      <c r="M47" s="66">
        <f t="shared" si="4"/>
        <v>0</v>
      </c>
      <c r="N47" s="229">
        <f t="shared" si="5"/>
        <v>0</v>
      </c>
      <c r="O47" s="111"/>
      <c r="P47" s="225">
        <f t="shared" si="11"/>
        <v>0</v>
      </c>
      <c r="Q47" s="226">
        <f t="shared" si="12"/>
        <v>0</v>
      </c>
      <c r="R47" s="226">
        <f t="shared" si="13"/>
        <v>0</v>
      </c>
      <c r="S47" s="226">
        <f t="shared" si="14"/>
        <v>0</v>
      </c>
      <c r="T47" s="355">
        <f t="shared" si="15"/>
        <v>0</v>
      </c>
      <c r="U47" s="220"/>
      <c r="V47" s="220"/>
      <c r="W47" s="220"/>
      <c r="X47" s="220"/>
      <c r="Y47" s="220"/>
      <c r="Z47" s="220"/>
      <c r="AA47" s="220"/>
      <c r="AB47" s="220"/>
      <c r="AC47" s="220"/>
      <c r="AD47" s="220"/>
      <c r="AE47" s="220"/>
      <c r="AF47" s="1"/>
      <c r="AH47" s="68">
        <f t="shared" si="6"/>
        <v>0</v>
      </c>
      <c r="AI47" s="69">
        <f t="shared" si="7"/>
        <v>0</v>
      </c>
      <c r="AJ47" s="70">
        <f t="shared" si="8"/>
        <v>0</v>
      </c>
      <c r="AK47" s="69">
        <f t="shared" si="9"/>
        <v>0</v>
      </c>
    </row>
    <row r="48" spans="1:38">
      <c r="A48" s="410"/>
      <c r="B48" s="418"/>
      <c r="C48" s="413"/>
      <c r="D48" s="422"/>
      <c r="E48" s="413"/>
      <c r="F48" s="419"/>
      <c r="G48" s="421"/>
      <c r="H48" s="168">
        <f t="shared" si="16"/>
        <v>0</v>
      </c>
      <c r="I48" s="348">
        <f t="shared" si="10"/>
        <v>0</v>
      </c>
      <c r="J48" s="148">
        <f t="shared" si="1"/>
        <v>0</v>
      </c>
      <c r="K48" s="65">
        <f t="shared" si="2"/>
        <v>0</v>
      </c>
      <c r="L48" s="65">
        <f t="shared" si="3"/>
        <v>0</v>
      </c>
      <c r="M48" s="66">
        <f t="shared" si="4"/>
        <v>0</v>
      </c>
      <c r="N48" s="229">
        <f t="shared" si="5"/>
        <v>0</v>
      </c>
      <c r="O48" s="111"/>
      <c r="P48" s="225">
        <f t="shared" si="11"/>
        <v>0</v>
      </c>
      <c r="Q48" s="226">
        <f t="shared" si="12"/>
        <v>0</v>
      </c>
      <c r="R48" s="226">
        <f t="shared" si="13"/>
        <v>0</v>
      </c>
      <c r="S48" s="226">
        <f t="shared" si="14"/>
        <v>0</v>
      </c>
      <c r="T48" s="355">
        <f t="shared" si="15"/>
        <v>0</v>
      </c>
      <c r="U48" s="220"/>
      <c r="V48" s="220"/>
      <c r="W48" s="220"/>
      <c r="X48" s="220"/>
      <c r="Y48" s="220"/>
      <c r="Z48" s="220"/>
      <c r="AA48" s="220"/>
      <c r="AB48" s="220"/>
      <c r="AC48" s="220"/>
      <c r="AD48" s="220"/>
      <c r="AE48" s="220"/>
      <c r="AF48" s="1"/>
      <c r="AH48" s="68">
        <f t="shared" si="6"/>
        <v>0</v>
      </c>
      <c r="AI48" s="69">
        <f t="shared" si="7"/>
        <v>0</v>
      </c>
      <c r="AJ48" s="70">
        <f t="shared" si="8"/>
        <v>0</v>
      </c>
      <c r="AK48" s="69">
        <f t="shared" si="9"/>
        <v>0</v>
      </c>
    </row>
    <row r="49" spans="1:39">
      <c r="A49" s="410"/>
      <c r="B49" s="418"/>
      <c r="C49" s="422"/>
      <c r="D49" s="422"/>
      <c r="E49" s="413"/>
      <c r="F49" s="419"/>
      <c r="G49" s="421"/>
      <c r="H49" s="168">
        <f t="shared" si="16"/>
        <v>0</v>
      </c>
      <c r="I49" s="348">
        <f t="shared" si="10"/>
        <v>0</v>
      </c>
      <c r="J49" s="148">
        <f t="shared" si="1"/>
        <v>0</v>
      </c>
      <c r="K49" s="65">
        <f t="shared" si="2"/>
        <v>0</v>
      </c>
      <c r="L49" s="65">
        <f t="shared" si="3"/>
        <v>0</v>
      </c>
      <c r="M49" s="66">
        <f t="shared" si="4"/>
        <v>0</v>
      </c>
      <c r="N49" s="229">
        <f t="shared" si="5"/>
        <v>0</v>
      </c>
      <c r="O49" s="111"/>
      <c r="P49" s="225">
        <f t="shared" si="11"/>
        <v>0</v>
      </c>
      <c r="Q49" s="226">
        <f t="shared" si="12"/>
        <v>0</v>
      </c>
      <c r="R49" s="226">
        <f t="shared" si="13"/>
        <v>0</v>
      </c>
      <c r="S49" s="226">
        <f t="shared" si="14"/>
        <v>0</v>
      </c>
      <c r="T49" s="355">
        <f t="shared" si="15"/>
        <v>0</v>
      </c>
      <c r="U49" s="220"/>
      <c r="V49" s="220"/>
      <c r="W49" s="220"/>
      <c r="X49" s="220"/>
      <c r="Y49" s="220"/>
      <c r="Z49" s="220"/>
      <c r="AA49" s="220"/>
      <c r="AB49" s="220"/>
      <c r="AC49" s="220"/>
      <c r="AD49" s="220"/>
      <c r="AE49" s="220"/>
      <c r="AF49" s="1"/>
      <c r="AH49" s="68">
        <f t="shared" si="6"/>
        <v>0</v>
      </c>
      <c r="AI49" s="69">
        <f t="shared" si="7"/>
        <v>0</v>
      </c>
      <c r="AJ49" s="70">
        <f t="shared" si="8"/>
        <v>0</v>
      </c>
      <c r="AK49" s="69">
        <f t="shared" si="9"/>
        <v>0</v>
      </c>
    </row>
    <row r="50" spans="1:39">
      <c r="A50" s="410"/>
      <c r="B50" s="418"/>
      <c r="C50" s="422"/>
      <c r="D50" s="422"/>
      <c r="E50" s="413"/>
      <c r="F50" s="419"/>
      <c r="G50" s="421"/>
      <c r="H50" s="168">
        <f t="shared" si="16"/>
        <v>0</v>
      </c>
      <c r="I50" s="348">
        <f t="shared" si="10"/>
        <v>0</v>
      </c>
      <c r="J50" s="148">
        <f t="shared" si="1"/>
        <v>0</v>
      </c>
      <c r="K50" s="65">
        <f t="shared" si="2"/>
        <v>0</v>
      </c>
      <c r="L50" s="65">
        <f t="shared" si="3"/>
        <v>0</v>
      </c>
      <c r="M50" s="66">
        <f t="shared" si="4"/>
        <v>0</v>
      </c>
      <c r="N50" s="229">
        <f t="shared" si="5"/>
        <v>0</v>
      </c>
      <c r="O50" s="111"/>
      <c r="P50" s="225">
        <f t="shared" si="11"/>
        <v>0</v>
      </c>
      <c r="Q50" s="226">
        <f t="shared" si="12"/>
        <v>0</v>
      </c>
      <c r="R50" s="226">
        <f t="shared" si="13"/>
        <v>0</v>
      </c>
      <c r="S50" s="226">
        <f t="shared" si="14"/>
        <v>0</v>
      </c>
      <c r="T50" s="355">
        <f t="shared" si="15"/>
        <v>0</v>
      </c>
      <c r="U50" s="220"/>
      <c r="V50" s="220"/>
      <c r="W50" s="220"/>
      <c r="X50" s="220"/>
      <c r="Y50" s="220"/>
      <c r="Z50" s="220"/>
      <c r="AA50" s="220"/>
      <c r="AB50" s="220"/>
      <c r="AC50" s="220"/>
      <c r="AD50" s="220"/>
      <c r="AE50" s="220"/>
      <c r="AF50" s="1"/>
      <c r="AH50" s="68">
        <f t="shared" si="6"/>
        <v>0</v>
      </c>
      <c r="AI50" s="69">
        <f t="shared" si="7"/>
        <v>0</v>
      </c>
      <c r="AJ50" s="70">
        <f t="shared" si="8"/>
        <v>0</v>
      </c>
      <c r="AK50" s="69">
        <f t="shared" si="9"/>
        <v>0</v>
      </c>
    </row>
    <row r="51" spans="1:39">
      <c r="A51" s="410"/>
      <c r="B51" s="418"/>
      <c r="C51" s="422"/>
      <c r="D51" s="422"/>
      <c r="E51" s="413"/>
      <c r="F51" s="419"/>
      <c r="G51" s="421"/>
      <c r="H51" s="168">
        <f t="shared" si="16"/>
        <v>0</v>
      </c>
      <c r="I51" s="348">
        <f t="shared" si="10"/>
        <v>0</v>
      </c>
      <c r="J51" s="148">
        <f t="shared" ref="J51:J61" si="17">IF(ISERROR(IF(I51&lt;J87,I51,J87)),0,IF(I51&lt;J87,I51,J87))</f>
        <v>0</v>
      </c>
      <c r="K51" s="65">
        <f t="shared" si="2"/>
        <v>0</v>
      </c>
      <c r="L51" s="65">
        <f t="shared" si="3"/>
        <v>0</v>
      </c>
      <c r="M51" s="66">
        <f t="shared" si="4"/>
        <v>0</v>
      </c>
      <c r="N51" s="229">
        <f t="shared" si="5"/>
        <v>0</v>
      </c>
      <c r="O51" s="111"/>
      <c r="P51" s="225">
        <f t="shared" si="11"/>
        <v>0</v>
      </c>
      <c r="Q51" s="226">
        <f t="shared" si="12"/>
        <v>0</v>
      </c>
      <c r="R51" s="226">
        <f t="shared" si="13"/>
        <v>0</v>
      </c>
      <c r="S51" s="226">
        <f t="shared" si="14"/>
        <v>0</v>
      </c>
      <c r="T51" s="355">
        <f t="shared" si="15"/>
        <v>0</v>
      </c>
      <c r="U51" s="220"/>
      <c r="V51" s="220"/>
      <c r="W51" s="220"/>
      <c r="X51" s="220"/>
      <c r="Y51" s="220"/>
      <c r="Z51" s="220"/>
      <c r="AA51" s="220"/>
      <c r="AB51" s="220"/>
      <c r="AC51" s="220"/>
      <c r="AD51" s="220"/>
      <c r="AE51" s="220"/>
      <c r="AF51" s="1"/>
      <c r="AH51" s="68">
        <f t="shared" si="6"/>
        <v>0</v>
      </c>
      <c r="AI51" s="69">
        <f t="shared" si="7"/>
        <v>0</v>
      </c>
      <c r="AJ51" s="70">
        <f t="shared" si="8"/>
        <v>0</v>
      </c>
      <c r="AK51" s="69">
        <f t="shared" si="9"/>
        <v>0</v>
      </c>
    </row>
    <row r="52" spans="1:39">
      <c r="A52" s="410"/>
      <c r="B52" s="418"/>
      <c r="C52" s="422"/>
      <c r="D52" s="422"/>
      <c r="E52" s="413"/>
      <c r="F52" s="419"/>
      <c r="G52" s="421"/>
      <c r="H52" s="168">
        <f t="shared" si="16"/>
        <v>0</v>
      </c>
      <c r="I52" s="348">
        <f t="shared" si="10"/>
        <v>0</v>
      </c>
      <c r="J52" s="148">
        <f t="shared" si="17"/>
        <v>0</v>
      </c>
      <c r="K52" s="65">
        <f t="shared" si="2"/>
        <v>0</v>
      </c>
      <c r="L52" s="65">
        <f t="shared" si="3"/>
        <v>0</v>
      </c>
      <c r="M52" s="66">
        <f t="shared" si="4"/>
        <v>0</v>
      </c>
      <c r="N52" s="229">
        <f t="shared" si="5"/>
        <v>0</v>
      </c>
      <c r="O52" s="111"/>
      <c r="P52" s="225">
        <f t="shared" si="11"/>
        <v>0</v>
      </c>
      <c r="Q52" s="226">
        <f t="shared" si="12"/>
        <v>0</v>
      </c>
      <c r="R52" s="226">
        <f t="shared" si="13"/>
        <v>0</v>
      </c>
      <c r="S52" s="226">
        <f t="shared" si="14"/>
        <v>0</v>
      </c>
      <c r="T52" s="355">
        <f t="shared" si="15"/>
        <v>0</v>
      </c>
      <c r="U52" s="220"/>
      <c r="V52" s="220"/>
      <c r="W52" s="220"/>
      <c r="X52" s="220"/>
      <c r="Y52" s="220"/>
      <c r="Z52" s="220"/>
      <c r="AA52" s="220"/>
      <c r="AB52" s="220"/>
      <c r="AC52" s="220"/>
      <c r="AD52" s="220"/>
      <c r="AE52" s="220"/>
      <c r="AF52" s="1"/>
      <c r="AH52" s="68">
        <f t="shared" si="6"/>
        <v>0</v>
      </c>
      <c r="AI52" s="69">
        <f t="shared" si="7"/>
        <v>0</v>
      </c>
      <c r="AJ52" s="70">
        <f t="shared" si="8"/>
        <v>0</v>
      </c>
      <c r="AK52" s="69">
        <f t="shared" si="9"/>
        <v>0</v>
      </c>
    </row>
    <row r="53" spans="1:39">
      <c r="A53" s="410"/>
      <c r="B53" s="418"/>
      <c r="C53" s="422"/>
      <c r="D53" s="422"/>
      <c r="E53" s="413"/>
      <c r="F53" s="419"/>
      <c r="G53" s="421"/>
      <c r="H53" s="168">
        <f t="shared" si="16"/>
        <v>0</v>
      </c>
      <c r="I53" s="348">
        <f t="shared" si="10"/>
        <v>0</v>
      </c>
      <c r="J53" s="148">
        <f t="shared" si="17"/>
        <v>0</v>
      </c>
      <c r="K53" s="65">
        <f t="shared" si="2"/>
        <v>0</v>
      </c>
      <c r="L53" s="65">
        <f t="shared" si="3"/>
        <v>0</v>
      </c>
      <c r="M53" s="66">
        <f t="shared" si="4"/>
        <v>0</v>
      </c>
      <c r="N53" s="229">
        <f t="shared" si="5"/>
        <v>0</v>
      </c>
      <c r="O53" s="111"/>
      <c r="P53" s="225">
        <f t="shared" si="11"/>
        <v>0</v>
      </c>
      <c r="Q53" s="226">
        <f t="shared" si="12"/>
        <v>0</v>
      </c>
      <c r="R53" s="226">
        <f t="shared" si="13"/>
        <v>0</v>
      </c>
      <c r="S53" s="226">
        <f t="shared" si="14"/>
        <v>0</v>
      </c>
      <c r="T53" s="355">
        <f t="shared" si="15"/>
        <v>0</v>
      </c>
      <c r="U53" s="220"/>
      <c r="V53" s="220"/>
      <c r="W53" s="220"/>
      <c r="X53" s="220"/>
      <c r="Y53" s="220"/>
      <c r="Z53" s="220"/>
      <c r="AA53" s="220"/>
      <c r="AB53" s="220"/>
      <c r="AC53" s="220"/>
      <c r="AD53" s="220"/>
      <c r="AE53" s="220"/>
      <c r="AF53" s="1"/>
      <c r="AH53" s="68">
        <f t="shared" si="6"/>
        <v>0</v>
      </c>
      <c r="AI53" s="69">
        <f t="shared" si="7"/>
        <v>0</v>
      </c>
      <c r="AJ53" s="70">
        <f t="shared" si="8"/>
        <v>0</v>
      </c>
      <c r="AK53" s="69">
        <f t="shared" si="9"/>
        <v>0</v>
      </c>
    </row>
    <row r="54" spans="1:39">
      <c r="A54" s="410"/>
      <c r="B54" s="418"/>
      <c r="C54" s="422"/>
      <c r="D54" s="422"/>
      <c r="E54" s="413"/>
      <c r="F54" s="419"/>
      <c r="G54" s="421"/>
      <c r="H54" s="168">
        <f t="shared" si="16"/>
        <v>0</v>
      </c>
      <c r="I54" s="348">
        <f t="shared" si="10"/>
        <v>0</v>
      </c>
      <c r="J54" s="148">
        <f t="shared" si="17"/>
        <v>0</v>
      </c>
      <c r="K54" s="65">
        <f t="shared" si="2"/>
        <v>0</v>
      </c>
      <c r="L54" s="65">
        <f t="shared" si="3"/>
        <v>0</v>
      </c>
      <c r="M54" s="66">
        <f t="shared" si="4"/>
        <v>0</v>
      </c>
      <c r="N54" s="229">
        <f t="shared" si="5"/>
        <v>0</v>
      </c>
      <c r="O54" s="111"/>
      <c r="P54" s="225">
        <f t="shared" si="11"/>
        <v>0</v>
      </c>
      <c r="Q54" s="226">
        <f t="shared" si="12"/>
        <v>0</v>
      </c>
      <c r="R54" s="226">
        <f t="shared" si="13"/>
        <v>0</v>
      </c>
      <c r="S54" s="226">
        <f t="shared" si="14"/>
        <v>0</v>
      </c>
      <c r="T54" s="355">
        <f t="shared" si="15"/>
        <v>0</v>
      </c>
      <c r="U54" s="220"/>
      <c r="V54" s="220"/>
      <c r="W54" s="220"/>
      <c r="X54" s="220"/>
      <c r="Y54" s="220"/>
      <c r="Z54" s="220"/>
      <c r="AA54" s="220"/>
      <c r="AB54" s="220"/>
      <c r="AC54" s="220"/>
      <c r="AD54" s="220"/>
      <c r="AE54" s="220"/>
      <c r="AF54" s="1"/>
      <c r="AH54" s="68">
        <f t="shared" si="6"/>
        <v>0</v>
      </c>
      <c r="AI54" s="69">
        <f t="shared" si="7"/>
        <v>0</v>
      </c>
      <c r="AJ54" s="70">
        <f t="shared" si="8"/>
        <v>0</v>
      </c>
      <c r="AK54" s="69">
        <f t="shared" si="9"/>
        <v>0</v>
      </c>
    </row>
    <row r="55" spans="1:39">
      <c r="A55" s="410"/>
      <c r="B55" s="418"/>
      <c r="C55" s="422"/>
      <c r="D55" s="422"/>
      <c r="E55" s="413"/>
      <c r="F55" s="419"/>
      <c r="G55" s="421"/>
      <c r="H55" s="168">
        <f t="shared" si="16"/>
        <v>0</v>
      </c>
      <c r="I55" s="348">
        <f t="shared" si="10"/>
        <v>0</v>
      </c>
      <c r="J55" s="148">
        <f t="shared" si="17"/>
        <v>0</v>
      </c>
      <c r="K55" s="65">
        <f t="shared" si="2"/>
        <v>0</v>
      </c>
      <c r="L55" s="65">
        <f t="shared" si="3"/>
        <v>0</v>
      </c>
      <c r="M55" s="66">
        <f t="shared" si="4"/>
        <v>0</v>
      </c>
      <c r="N55" s="229">
        <f t="shared" si="5"/>
        <v>0</v>
      </c>
      <c r="O55" s="111"/>
      <c r="P55" s="225">
        <f t="shared" si="11"/>
        <v>0</v>
      </c>
      <c r="Q55" s="226">
        <f t="shared" si="12"/>
        <v>0</v>
      </c>
      <c r="R55" s="226">
        <f t="shared" si="13"/>
        <v>0</v>
      </c>
      <c r="S55" s="226">
        <f t="shared" si="14"/>
        <v>0</v>
      </c>
      <c r="T55" s="355">
        <f t="shared" si="15"/>
        <v>0</v>
      </c>
      <c r="U55" s="220"/>
      <c r="V55" s="220"/>
      <c r="W55" s="220"/>
      <c r="X55" s="220"/>
      <c r="Y55" s="220"/>
      <c r="Z55" s="220"/>
      <c r="AA55" s="220"/>
      <c r="AB55" s="220"/>
      <c r="AC55" s="220"/>
      <c r="AD55" s="220"/>
      <c r="AE55" s="220"/>
      <c r="AF55" s="1"/>
      <c r="AH55" s="68">
        <f t="shared" si="6"/>
        <v>0</v>
      </c>
      <c r="AI55" s="69">
        <f t="shared" si="7"/>
        <v>0</v>
      </c>
      <c r="AJ55" s="70">
        <f t="shared" si="8"/>
        <v>0</v>
      </c>
      <c r="AK55" s="69">
        <f t="shared" si="9"/>
        <v>0</v>
      </c>
    </row>
    <row r="56" spans="1:39">
      <c r="A56" s="410"/>
      <c r="B56" s="418"/>
      <c r="C56" s="422"/>
      <c r="D56" s="422"/>
      <c r="E56" s="413"/>
      <c r="F56" s="419"/>
      <c r="G56" s="421"/>
      <c r="H56" s="168">
        <f t="shared" si="16"/>
        <v>0</v>
      </c>
      <c r="I56" s="348">
        <f t="shared" si="10"/>
        <v>0</v>
      </c>
      <c r="J56" s="148">
        <f t="shared" si="17"/>
        <v>0</v>
      </c>
      <c r="K56" s="65">
        <f t="shared" si="2"/>
        <v>0</v>
      </c>
      <c r="L56" s="65">
        <f t="shared" si="3"/>
        <v>0</v>
      </c>
      <c r="M56" s="66">
        <f t="shared" si="4"/>
        <v>0</v>
      </c>
      <c r="N56" s="229">
        <f t="shared" si="5"/>
        <v>0</v>
      </c>
      <c r="O56" s="111"/>
      <c r="P56" s="225">
        <f t="shared" si="11"/>
        <v>0</v>
      </c>
      <c r="Q56" s="226">
        <f t="shared" si="12"/>
        <v>0</v>
      </c>
      <c r="R56" s="226">
        <f t="shared" si="13"/>
        <v>0</v>
      </c>
      <c r="S56" s="226">
        <f t="shared" si="14"/>
        <v>0</v>
      </c>
      <c r="T56" s="355">
        <f t="shared" si="15"/>
        <v>0</v>
      </c>
      <c r="U56" s="220"/>
      <c r="V56" s="220"/>
      <c r="W56" s="220"/>
      <c r="X56" s="220"/>
      <c r="Y56" s="220"/>
      <c r="Z56" s="220"/>
      <c r="AA56" s="220"/>
      <c r="AB56" s="220"/>
      <c r="AC56" s="220"/>
      <c r="AD56" s="220"/>
      <c r="AE56" s="220"/>
      <c r="AF56" s="1"/>
      <c r="AH56" s="68">
        <f t="shared" si="6"/>
        <v>0</v>
      </c>
      <c r="AI56" s="69">
        <f t="shared" si="7"/>
        <v>0</v>
      </c>
      <c r="AJ56" s="70">
        <f t="shared" si="8"/>
        <v>0</v>
      </c>
      <c r="AK56" s="69">
        <f t="shared" si="9"/>
        <v>0</v>
      </c>
    </row>
    <row r="57" spans="1:39">
      <c r="A57" s="410"/>
      <c r="B57" s="418"/>
      <c r="C57" s="422"/>
      <c r="D57" s="422"/>
      <c r="E57" s="413"/>
      <c r="F57" s="419"/>
      <c r="G57" s="421"/>
      <c r="H57" s="168">
        <f t="shared" si="16"/>
        <v>0</v>
      </c>
      <c r="I57" s="348">
        <f t="shared" si="10"/>
        <v>0</v>
      </c>
      <c r="J57" s="148">
        <f t="shared" si="17"/>
        <v>0</v>
      </c>
      <c r="K57" s="65">
        <f t="shared" si="2"/>
        <v>0</v>
      </c>
      <c r="L57" s="65">
        <f t="shared" si="3"/>
        <v>0</v>
      </c>
      <c r="M57" s="66">
        <f t="shared" si="4"/>
        <v>0</v>
      </c>
      <c r="N57" s="229">
        <f t="shared" si="5"/>
        <v>0</v>
      </c>
      <c r="O57" s="111"/>
      <c r="P57" s="225">
        <f t="shared" si="11"/>
        <v>0</v>
      </c>
      <c r="Q57" s="226">
        <f t="shared" si="12"/>
        <v>0</v>
      </c>
      <c r="R57" s="226">
        <f t="shared" si="13"/>
        <v>0</v>
      </c>
      <c r="S57" s="226">
        <f t="shared" si="14"/>
        <v>0</v>
      </c>
      <c r="T57" s="355">
        <f t="shared" si="15"/>
        <v>0</v>
      </c>
      <c r="U57" s="220"/>
      <c r="V57" s="220"/>
      <c r="W57" s="220"/>
      <c r="X57" s="220"/>
      <c r="Y57" s="220"/>
      <c r="Z57" s="220"/>
      <c r="AA57" s="220"/>
      <c r="AB57" s="220"/>
      <c r="AC57" s="220"/>
      <c r="AD57" s="220"/>
      <c r="AE57" s="220"/>
      <c r="AF57" s="1"/>
      <c r="AH57" s="68">
        <f t="shared" si="6"/>
        <v>0</v>
      </c>
      <c r="AI57" s="69">
        <f t="shared" si="7"/>
        <v>0</v>
      </c>
      <c r="AJ57" s="70">
        <f t="shared" si="8"/>
        <v>0</v>
      </c>
      <c r="AK57" s="69">
        <f t="shared" si="9"/>
        <v>0</v>
      </c>
    </row>
    <row r="58" spans="1:39">
      <c r="A58" s="410"/>
      <c r="B58" s="418"/>
      <c r="C58" s="422"/>
      <c r="D58" s="422"/>
      <c r="E58" s="413"/>
      <c r="F58" s="419"/>
      <c r="G58" s="421"/>
      <c r="H58" s="168">
        <f t="shared" si="16"/>
        <v>0</v>
      </c>
      <c r="I58" s="348">
        <f t="shared" si="10"/>
        <v>0</v>
      </c>
      <c r="J58" s="148">
        <f t="shared" si="17"/>
        <v>0</v>
      </c>
      <c r="K58" s="65">
        <f t="shared" si="2"/>
        <v>0</v>
      </c>
      <c r="L58" s="65">
        <f t="shared" si="3"/>
        <v>0</v>
      </c>
      <c r="M58" s="66">
        <f t="shared" si="4"/>
        <v>0</v>
      </c>
      <c r="N58" s="229">
        <f t="shared" si="5"/>
        <v>0</v>
      </c>
      <c r="O58" s="111"/>
      <c r="P58" s="225">
        <f t="shared" si="11"/>
        <v>0</v>
      </c>
      <c r="Q58" s="226">
        <f t="shared" si="12"/>
        <v>0</v>
      </c>
      <c r="R58" s="226">
        <f t="shared" si="13"/>
        <v>0</v>
      </c>
      <c r="S58" s="226">
        <f t="shared" si="14"/>
        <v>0</v>
      </c>
      <c r="T58" s="355">
        <f t="shared" si="15"/>
        <v>0</v>
      </c>
      <c r="U58" s="220"/>
      <c r="V58" s="220"/>
      <c r="W58" s="220"/>
      <c r="X58" s="220"/>
      <c r="Y58" s="220"/>
      <c r="Z58" s="220"/>
      <c r="AA58" s="220"/>
      <c r="AB58" s="220"/>
      <c r="AC58" s="220"/>
      <c r="AD58" s="220"/>
      <c r="AE58" s="220"/>
      <c r="AF58" s="1"/>
      <c r="AH58" s="68">
        <f t="shared" si="6"/>
        <v>0</v>
      </c>
      <c r="AI58" s="69">
        <f t="shared" si="7"/>
        <v>0</v>
      </c>
      <c r="AJ58" s="70">
        <f t="shared" si="8"/>
        <v>0</v>
      </c>
      <c r="AK58" s="69">
        <f t="shared" si="9"/>
        <v>0</v>
      </c>
    </row>
    <row r="59" spans="1:39">
      <c r="A59" s="410"/>
      <c r="B59" s="418"/>
      <c r="C59" s="422"/>
      <c r="D59" s="422"/>
      <c r="E59" s="413"/>
      <c r="F59" s="419"/>
      <c r="G59" s="421"/>
      <c r="H59" s="168">
        <f t="shared" si="16"/>
        <v>0</v>
      </c>
      <c r="I59" s="348">
        <f t="shared" si="10"/>
        <v>0</v>
      </c>
      <c r="J59" s="148">
        <f t="shared" si="17"/>
        <v>0</v>
      </c>
      <c r="K59" s="65">
        <f t="shared" si="2"/>
        <v>0</v>
      </c>
      <c r="L59" s="65">
        <f t="shared" si="3"/>
        <v>0</v>
      </c>
      <c r="M59" s="66">
        <f t="shared" si="4"/>
        <v>0</v>
      </c>
      <c r="N59" s="229">
        <f t="shared" si="5"/>
        <v>0</v>
      </c>
      <c r="O59" s="111"/>
      <c r="P59" s="225">
        <f t="shared" si="11"/>
        <v>0</v>
      </c>
      <c r="Q59" s="226">
        <f t="shared" si="12"/>
        <v>0</v>
      </c>
      <c r="R59" s="226">
        <f t="shared" si="13"/>
        <v>0</v>
      </c>
      <c r="S59" s="226">
        <f t="shared" si="14"/>
        <v>0</v>
      </c>
      <c r="T59" s="355">
        <f t="shared" si="15"/>
        <v>0</v>
      </c>
      <c r="U59" s="220"/>
      <c r="V59" s="220"/>
      <c r="W59" s="220"/>
      <c r="X59" s="220"/>
      <c r="Y59" s="220"/>
      <c r="Z59" s="220"/>
      <c r="AA59" s="220"/>
      <c r="AB59" s="220"/>
      <c r="AC59" s="220"/>
      <c r="AD59" s="220"/>
      <c r="AE59" s="220"/>
      <c r="AF59" s="1"/>
      <c r="AH59" s="68">
        <f t="shared" si="6"/>
        <v>0</v>
      </c>
      <c r="AI59" s="69">
        <f t="shared" si="7"/>
        <v>0</v>
      </c>
      <c r="AJ59" s="70">
        <f t="shared" si="8"/>
        <v>0</v>
      </c>
      <c r="AK59" s="69">
        <f t="shared" si="9"/>
        <v>0</v>
      </c>
      <c r="AM59" s="158"/>
    </row>
    <row r="60" spans="1:39">
      <c r="A60" s="410"/>
      <c r="B60" s="418"/>
      <c r="C60" s="422"/>
      <c r="D60" s="422"/>
      <c r="E60" s="413"/>
      <c r="F60" s="419"/>
      <c r="G60" s="421"/>
      <c r="H60" s="168">
        <f t="shared" si="16"/>
        <v>0</v>
      </c>
      <c r="I60" s="348">
        <f t="shared" si="10"/>
        <v>0</v>
      </c>
      <c r="J60" s="148">
        <f t="shared" si="17"/>
        <v>0</v>
      </c>
      <c r="K60" s="65">
        <f t="shared" si="2"/>
        <v>0</v>
      </c>
      <c r="L60" s="65">
        <f t="shared" si="3"/>
        <v>0</v>
      </c>
      <c r="M60" s="66">
        <f t="shared" si="4"/>
        <v>0</v>
      </c>
      <c r="N60" s="229">
        <f t="shared" si="5"/>
        <v>0</v>
      </c>
      <c r="O60" s="111"/>
      <c r="P60" s="225">
        <f t="shared" si="11"/>
        <v>0</v>
      </c>
      <c r="Q60" s="226">
        <f t="shared" si="12"/>
        <v>0</v>
      </c>
      <c r="R60" s="226">
        <f t="shared" si="13"/>
        <v>0</v>
      </c>
      <c r="S60" s="226">
        <f t="shared" si="14"/>
        <v>0</v>
      </c>
      <c r="T60" s="355">
        <f t="shared" si="15"/>
        <v>0</v>
      </c>
      <c r="U60" s="220"/>
      <c r="V60" s="220"/>
      <c r="W60" s="220"/>
      <c r="X60" s="220"/>
      <c r="Y60" s="220"/>
      <c r="Z60" s="220"/>
      <c r="AA60" s="220"/>
      <c r="AB60" s="220"/>
      <c r="AC60" s="220"/>
      <c r="AD60" s="220"/>
      <c r="AE60" s="220"/>
      <c r="AF60" s="1"/>
      <c r="AH60" s="68">
        <f t="shared" si="6"/>
        <v>0</v>
      </c>
      <c r="AI60" s="69">
        <f t="shared" si="7"/>
        <v>0</v>
      </c>
      <c r="AJ60" s="70">
        <f t="shared" si="8"/>
        <v>0</v>
      </c>
      <c r="AK60" s="69">
        <f t="shared" si="9"/>
        <v>0</v>
      </c>
      <c r="AM60" s="158"/>
    </row>
    <row r="61" spans="1:39" ht="13" thickBot="1">
      <c r="A61" s="410"/>
      <c r="B61" s="418"/>
      <c r="C61" s="422"/>
      <c r="D61" s="422"/>
      <c r="E61" s="413"/>
      <c r="F61" s="419"/>
      <c r="G61" s="421"/>
      <c r="H61" s="168">
        <f>IF(ISERROR(IF(A61="",I61*(Annual_Salary/12),I61*(VLOOKUP(A61,SalaryLimits,2,FALSE))/12)),0,IF(A61="",I61*(Annual_Salary/12),I61*(VLOOKUP(A61,SalaryLimits,2,FALSE))/12))</f>
        <v>0</v>
      </c>
      <c r="I61" s="348">
        <f>IF(ISERROR(ROUND(IF(AND(F61="",A61=""),G61/(Annual_Salary/12),IF(AND(F61="",A61&lt;&gt;""),G61/(VLOOKUP(A61,SalaryLimits,2,FALSE)/12),F61)),4)),0,ROUND(IF(AND(F61="",A61=""),G61/(Annual_Salary/12),IF(AND(F61="",A61&lt;&gt;""),G61/(VLOOKUP(A61,SalaryLimits,2,FALSE)/12),F61)),4))</f>
        <v>0</v>
      </c>
      <c r="J61" s="148">
        <f t="shared" si="17"/>
        <v>0</v>
      </c>
      <c r="K61" s="65">
        <f t="shared" si="2"/>
        <v>0</v>
      </c>
      <c r="L61" s="65">
        <f t="shared" si="3"/>
        <v>0</v>
      </c>
      <c r="M61" s="66">
        <f t="shared" si="4"/>
        <v>0</v>
      </c>
      <c r="N61" s="229">
        <f t="shared" si="5"/>
        <v>0</v>
      </c>
      <c r="O61" s="111"/>
      <c r="P61" s="225">
        <f>IF(OR(OverCAP="No",A61=""),0,(J61*(Annual_Salary/12))-(J61*(VLOOKUP(A61,SalaryLimits,2,FALSE)/12)))</f>
        <v>0</v>
      </c>
      <c r="Q61" s="226">
        <f>IF(OR(OverCAP="No",A61=""),0,(K61*(Annual_Salary/12))-(K61*(VLOOKUP(A61,SalaryLimits,2,FALSE)/12)))</f>
        <v>0</v>
      </c>
      <c r="R61" s="226">
        <f>IF(OR(OverCAP="No",A61=""),0,(L61*(Annual_Salary/12))-(L61*(VLOOKUP(A61,SalaryLimits,2,FALSE)/12)))</f>
        <v>0</v>
      </c>
      <c r="S61" s="226">
        <f>IF(OR(OverCAP="No",A61=""),0,(M61*(Annual_Salary/12))-(M61*(VLOOKUP(A61,SalaryLimits,2,FALSE)/12)))</f>
        <v>0</v>
      </c>
      <c r="T61" s="355">
        <f t="shared" si="15"/>
        <v>0</v>
      </c>
      <c r="U61" s="220"/>
      <c r="V61" s="220"/>
      <c r="W61" s="220"/>
      <c r="X61" s="220"/>
      <c r="Y61" s="220"/>
      <c r="Z61" s="220"/>
      <c r="AA61" s="220"/>
      <c r="AB61" s="220"/>
      <c r="AC61" s="220"/>
      <c r="AD61" s="220"/>
      <c r="AE61" s="220"/>
      <c r="AF61" s="1"/>
      <c r="AH61" s="68">
        <f t="shared" si="6"/>
        <v>0</v>
      </c>
      <c r="AI61" s="69">
        <f t="shared" si="7"/>
        <v>0</v>
      </c>
      <c r="AJ61" s="70">
        <f t="shared" si="8"/>
        <v>0</v>
      </c>
      <c r="AK61" s="69">
        <f t="shared" si="9"/>
        <v>0</v>
      </c>
    </row>
    <row r="62" spans="1:39" ht="13" thickBot="1">
      <c r="A62" s="32"/>
      <c r="B62" s="167" t="s">
        <v>12</v>
      </c>
      <c r="C62" s="150"/>
      <c r="D62" s="150"/>
      <c r="E62" s="151"/>
      <c r="F62" s="346"/>
      <c r="G62" s="157"/>
      <c r="H62" s="347">
        <f t="shared" ref="H62:N62" si="18">SUM(H42:H61)</f>
        <v>0</v>
      </c>
      <c r="I62" s="349">
        <f t="shared" si="18"/>
        <v>0</v>
      </c>
      <c r="J62" s="350">
        <f t="shared" si="18"/>
        <v>0</v>
      </c>
      <c r="K62" s="351">
        <f t="shared" si="18"/>
        <v>0</v>
      </c>
      <c r="L62" s="351">
        <f t="shared" si="18"/>
        <v>0</v>
      </c>
      <c r="M62" s="349">
        <f t="shared" si="18"/>
        <v>0</v>
      </c>
      <c r="N62" s="352">
        <f t="shared" si="18"/>
        <v>0</v>
      </c>
      <c r="O62" s="134"/>
      <c r="P62" s="139">
        <f>ROUND(SUM(P42:P61),2)</f>
        <v>0</v>
      </c>
      <c r="Q62" s="140">
        <f>ROUND(SUM(Q42:Q61),2)</f>
        <v>0</v>
      </c>
      <c r="R62" s="140">
        <f>ROUND(SUM(R42:R61),2)</f>
        <v>0</v>
      </c>
      <c r="S62" s="283">
        <f>ROUND(SUM(S42:S61),2)</f>
        <v>0</v>
      </c>
      <c r="T62" s="284">
        <f>SUM(T42:T61)</f>
        <v>0</v>
      </c>
      <c r="U62" s="221"/>
      <c r="V62" s="221"/>
      <c r="W62" s="221"/>
      <c r="X62" s="221"/>
      <c r="Y62" s="221"/>
      <c r="Z62" s="221"/>
      <c r="AA62" s="221"/>
      <c r="AB62" s="221"/>
      <c r="AC62" s="221"/>
      <c r="AD62" s="221"/>
      <c r="AE62" s="221"/>
      <c r="AH62" s="69">
        <f>SUM(AH42:AH61)</f>
        <v>0</v>
      </c>
      <c r="AI62" s="69">
        <f>SUM(AI42:AI61)</f>
        <v>0</v>
      </c>
      <c r="AJ62" s="69">
        <f>SUM(AJ42:AJ61)</f>
        <v>0</v>
      </c>
      <c r="AK62" s="69">
        <f>SUM(AK42:AK61)</f>
        <v>0</v>
      </c>
      <c r="AM62" s="158"/>
    </row>
    <row r="63" spans="1:39">
      <c r="A63" s="264" t="s">
        <v>81</v>
      </c>
      <c r="B63" s="334"/>
      <c r="C63" s="334"/>
      <c r="D63" s="334"/>
      <c r="E63" s="334"/>
      <c r="F63" s="334"/>
      <c r="G63" s="334"/>
      <c r="H63" s="334"/>
      <c r="I63" s="334"/>
      <c r="J63" s="334"/>
      <c r="K63" s="334"/>
      <c r="L63" s="334"/>
      <c r="M63" s="334"/>
      <c r="N63" s="334"/>
      <c r="O63" s="334"/>
      <c r="P63" s="221"/>
      <c r="Q63" s="221"/>
      <c r="R63" s="221"/>
      <c r="S63" s="221"/>
      <c r="T63" s="221"/>
      <c r="U63" s="221"/>
      <c r="V63" s="221"/>
      <c r="W63" s="221"/>
      <c r="X63" s="221"/>
      <c r="Y63" s="221"/>
      <c r="Z63" s="221"/>
      <c r="AA63" s="221"/>
      <c r="AB63" s="221"/>
      <c r="AC63" s="221"/>
      <c r="AD63" s="221"/>
      <c r="AE63" s="221"/>
      <c r="AH63" s="223"/>
      <c r="AI63" s="223"/>
      <c r="AJ63" s="223"/>
      <c r="AK63" s="223"/>
      <c r="AM63" s="158"/>
    </row>
    <row r="64" spans="1:39">
      <c r="A64" s="53" t="s">
        <v>73</v>
      </c>
      <c r="B64" s="335"/>
      <c r="C64" s="336"/>
      <c r="D64" s="336"/>
      <c r="E64" s="337"/>
      <c r="F64" s="337"/>
      <c r="G64" s="337"/>
      <c r="H64" s="338"/>
      <c r="I64" s="339"/>
      <c r="J64" s="339"/>
      <c r="K64" s="339"/>
      <c r="L64" s="339"/>
      <c r="M64" s="339"/>
      <c r="N64" s="339"/>
      <c r="O64" s="134"/>
      <c r="P64" s="241"/>
      <c r="Q64" s="221"/>
      <c r="R64" s="332"/>
      <c r="S64" s="332"/>
      <c r="T64" s="221"/>
      <c r="U64" s="221"/>
      <c r="V64" s="221"/>
      <c r="W64" s="221"/>
      <c r="X64" s="221"/>
      <c r="Y64" s="221"/>
      <c r="Z64" s="221"/>
      <c r="AA64" s="221"/>
      <c r="AB64" s="221"/>
      <c r="AC64" s="221"/>
      <c r="AD64" s="221"/>
      <c r="AE64" s="221"/>
      <c r="AH64" s="223"/>
      <c r="AI64" s="223"/>
      <c r="AJ64" s="223"/>
      <c r="AK64" s="223"/>
      <c r="AM64" s="158"/>
    </row>
    <row r="65" spans="1:43">
      <c r="A65" s="643"/>
      <c r="B65" s="644"/>
      <c r="C65" s="644"/>
      <c r="D65" s="644"/>
      <c r="E65" s="644"/>
      <c r="F65" s="644"/>
      <c r="G65" s="644"/>
      <c r="H65" s="644"/>
      <c r="I65" s="644"/>
      <c r="J65" s="644"/>
      <c r="K65" s="644"/>
      <c r="L65" s="644"/>
      <c r="M65" s="644"/>
      <c r="N65" s="645"/>
      <c r="O65" s="134"/>
      <c r="P65" s="241" t="s">
        <v>105</v>
      </c>
      <c r="Q65" s="287"/>
      <c r="R65" s="621"/>
      <c r="S65" s="622"/>
      <c r="T65" s="623"/>
      <c r="U65" s="221"/>
      <c r="V65" s="221"/>
      <c r="W65" s="221"/>
      <c r="X65" s="221"/>
      <c r="Y65" s="221"/>
      <c r="Z65" s="221"/>
      <c r="AA65" s="221"/>
      <c r="AB65" s="221"/>
      <c r="AC65" s="221"/>
      <c r="AD65" s="221"/>
      <c r="AE65" s="221"/>
      <c r="AH65" s="223"/>
      <c r="AI65" s="223"/>
      <c r="AJ65" s="223"/>
      <c r="AK65" s="223"/>
      <c r="AM65" s="158"/>
    </row>
    <row r="66" spans="1:43">
      <c r="A66" s="646"/>
      <c r="B66" s="647"/>
      <c r="C66" s="647"/>
      <c r="D66" s="647"/>
      <c r="E66" s="647"/>
      <c r="F66" s="647"/>
      <c r="G66" s="647"/>
      <c r="H66" s="647"/>
      <c r="I66" s="647"/>
      <c r="J66" s="647"/>
      <c r="K66" s="647"/>
      <c r="L66" s="647"/>
      <c r="M66" s="647"/>
      <c r="N66" s="648"/>
      <c r="O66" s="134"/>
      <c r="P66" s="331"/>
      <c r="Q66" s="287"/>
      <c r="R66" s="624"/>
      <c r="S66" s="625"/>
      <c r="T66" s="626"/>
      <c r="U66" s="221"/>
      <c r="V66" s="221"/>
      <c r="W66" s="221"/>
      <c r="X66" s="221"/>
      <c r="Y66" s="221"/>
      <c r="Z66" s="221"/>
      <c r="AA66" s="221"/>
      <c r="AB66" s="221"/>
      <c r="AC66" s="221"/>
      <c r="AD66" s="221"/>
      <c r="AE66" s="221"/>
      <c r="AH66" s="223"/>
      <c r="AI66" s="223"/>
      <c r="AJ66" s="223"/>
      <c r="AK66" s="223"/>
      <c r="AM66" s="158"/>
    </row>
    <row r="67" spans="1:43">
      <c r="A67" s="649"/>
      <c r="B67" s="650"/>
      <c r="C67" s="650"/>
      <c r="D67" s="650"/>
      <c r="E67" s="650"/>
      <c r="F67" s="650"/>
      <c r="G67" s="650"/>
      <c r="H67" s="650"/>
      <c r="I67" s="650"/>
      <c r="J67" s="650"/>
      <c r="K67" s="650"/>
      <c r="L67" s="650"/>
      <c r="M67" s="650"/>
      <c r="N67" s="651"/>
      <c r="O67" s="134"/>
      <c r="P67" s="331" t="s">
        <v>104</v>
      </c>
      <c r="Q67" s="287"/>
      <c r="R67" s="627"/>
      <c r="S67" s="628"/>
      <c r="T67" s="629"/>
      <c r="U67" s="221"/>
      <c r="V67" s="221"/>
      <c r="W67" s="221"/>
      <c r="X67" s="221"/>
      <c r="Y67" s="221"/>
      <c r="Z67" s="221"/>
      <c r="AA67" s="221"/>
      <c r="AB67" s="221"/>
      <c r="AC67" s="221"/>
      <c r="AD67" s="221"/>
      <c r="AE67" s="221"/>
      <c r="AH67" s="223"/>
      <c r="AI67" s="223"/>
      <c r="AJ67" s="223"/>
      <c r="AK67" s="223"/>
      <c r="AM67" s="158"/>
    </row>
    <row r="68" spans="1:43">
      <c r="A68" s="31"/>
      <c r="C68" s="53"/>
      <c r="D68" s="53"/>
      <c r="E68" s="53"/>
      <c r="F68" s="53"/>
      <c r="G68" s="53"/>
      <c r="H68" s="222"/>
      <c r="I68" s="134"/>
      <c r="J68" s="134"/>
      <c r="K68" s="134"/>
      <c r="L68" s="134"/>
      <c r="M68" s="134"/>
      <c r="N68" s="134"/>
      <c r="O68" s="134"/>
      <c r="P68" s="221"/>
      <c r="Q68" s="221"/>
      <c r="R68" s="408" t="s">
        <v>195</v>
      </c>
      <c r="S68" s="221"/>
      <c r="T68" s="221"/>
      <c r="U68" s="221"/>
      <c r="V68" s="221"/>
      <c r="W68" s="221"/>
      <c r="X68" s="221"/>
      <c r="Y68" s="221"/>
      <c r="Z68" s="221"/>
      <c r="AA68" s="221"/>
      <c r="AB68" s="221"/>
      <c r="AC68" s="221"/>
      <c r="AD68" s="221"/>
      <c r="AE68" s="221"/>
      <c r="AH68" s="223"/>
      <c r="AI68" s="223"/>
      <c r="AJ68" s="223"/>
      <c r="AK68" s="223"/>
    </row>
    <row r="69" spans="1:43">
      <c r="A69" s="31"/>
      <c r="B69" s="53"/>
      <c r="C69" s="53"/>
      <c r="D69" s="53"/>
      <c r="E69" s="53"/>
      <c r="F69" s="53"/>
      <c r="G69" s="53"/>
      <c r="H69" s="222"/>
      <c r="I69" s="134"/>
      <c r="J69" s="134"/>
      <c r="K69" s="134"/>
      <c r="L69" s="134"/>
      <c r="M69" s="134"/>
      <c r="N69" s="134"/>
      <c r="O69" s="134"/>
      <c r="P69" s="221"/>
      <c r="Q69" s="221"/>
      <c r="R69" s="221"/>
      <c r="S69" s="221"/>
      <c r="T69" s="221"/>
      <c r="U69" s="221"/>
      <c r="V69" s="221"/>
      <c r="W69" s="221"/>
      <c r="X69" s="221"/>
      <c r="Y69" s="221"/>
      <c r="Z69" s="221"/>
      <c r="AA69" s="221"/>
      <c r="AB69" s="221"/>
      <c r="AC69" s="221"/>
      <c r="AD69" s="221"/>
      <c r="AE69" s="221"/>
      <c r="AH69" s="223"/>
      <c r="AI69" s="223"/>
      <c r="AJ69" s="223"/>
      <c r="AK69" s="223"/>
    </row>
    <row r="70" spans="1:43">
      <c r="A70" s="31"/>
      <c r="B70" s="53"/>
      <c r="C70" s="53"/>
      <c r="D70" s="53"/>
      <c r="E70" s="53"/>
      <c r="F70" s="53"/>
      <c r="G70" s="53"/>
      <c r="H70" s="222"/>
      <c r="I70" s="134"/>
      <c r="J70" s="134"/>
      <c r="K70" s="134"/>
      <c r="L70" s="134"/>
      <c r="M70" s="134"/>
      <c r="N70" s="134"/>
      <c r="O70" s="134"/>
      <c r="P70" s="221"/>
      <c r="Q70" s="221"/>
      <c r="R70" s="221"/>
      <c r="S70" s="221"/>
      <c r="T70" s="221"/>
      <c r="U70" s="221"/>
      <c r="V70" s="221"/>
      <c r="W70" s="221"/>
      <c r="X70" s="221"/>
      <c r="Y70" s="221"/>
      <c r="Z70" s="221"/>
      <c r="AA70" s="221"/>
      <c r="AB70" s="221"/>
      <c r="AC70" s="221"/>
      <c r="AD70" s="221"/>
      <c r="AE70" s="221"/>
      <c r="AH70" s="223"/>
      <c r="AI70" s="223"/>
      <c r="AJ70" s="223"/>
      <c r="AK70" s="223"/>
    </row>
    <row r="71" spans="1:43">
      <c r="A71" s="31"/>
      <c r="B71" s="53"/>
      <c r="C71" s="53"/>
      <c r="D71" s="53"/>
      <c r="E71" s="53"/>
      <c r="F71" s="53"/>
      <c r="G71" s="53"/>
      <c r="H71" s="222"/>
      <c r="I71" s="134"/>
      <c r="J71" s="134"/>
      <c r="K71" s="134"/>
      <c r="L71" s="134"/>
      <c r="M71" s="134"/>
      <c r="N71" s="134"/>
      <c r="O71" s="134"/>
      <c r="P71" s="221"/>
      <c r="Q71" s="221"/>
      <c r="R71" s="221"/>
      <c r="S71" s="221"/>
      <c r="T71" s="221"/>
      <c r="U71" s="221"/>
      <c r="V71" s="221"/>
      <c r="W71" s="221"/>
      <c r="X71" s="221"/>
      <c r="Y71" s="221"/>
      <c r="Z71" s="221"/>
      <c r="AA71" s="221"/>
      <c r="AB71" s="221"/>
      <c r="AC71" s="221"/>
      <c r="AD71" s="221"/>
      <c r="AE71" s="221"/>
      <c r="AH71" s="223"/>
      <c r="AI71" s="223"/>
      <c r="AJ71" s="223"/>
      <c r="AK71" s="223"/>
    </row>
    <row r="72" spans="1:43">
      <c r="A72" s="31"/>
      <c r="B72" s="53"/>
      <c r="C72" s="53"/>
      <c r="D72" s="53"/>
      <c r="E72" s="53"/>
      <c r="F72" s="53"/>
      <c r="G72" s="53"/>
      <c r="H72" s="222"/>
      <c r="I72" s="134"/>
      <c r="J72" s="134"/>
      <c r="K72" s="134"/>
      <c r="L72" s="134"/>
      <c r="M72" s="134"/>
      <c r="N72" s="134"/>
      <c r="O72" s="134"/>
      <c r="P72" s="221"/>
      <c r="Q72" s="221"/>
      <c r="R72" s="221"/>
      <c r="S72" s="221"/>
      <c r="T72" s="221"/>
      <c r="U72" s="221"/>
      <c r="V72" s="221"/>
      <c r="W72" s="221"/>
      <c r="X72" s="221"/>
      <c r="Y72" s="221"/>
      <c r="Z72" s="221"/>
      <c r="AA72" s="221"/>
      <c r="AB72" s="221"/>
      <c r="AC72" s="221"/>
      <c r="AD72" s="221"/>
      <c r="AE72" s="221"/>
      <c r="AH72" s="223"/>
      <c r="AI72" s="223"/>
      <c r="AJ72" s="223"/>
      <c r="AK72" s="223"/>
    </row>
    <row r="73" spans="1:43">
      <c r="A73" s="31"/>
      <c r="B73" s="53"/>
      <c r="C73" s="53"/>
      <c r="D73" s="53"/>
      <c r="E73" s="53"/>
      <c r="F73" s="53"/>
      <c r="G73" s="53"/>
      <c r="H73" s="222"/>
      <c r="I73" s="134"/>
      <c r="J73" s="134"/>
      <c r="K73" s="134"/>
      <c r="L73" s="134"/>
      <c r="M73" s="134"/>
      <c r="N73" s="134"/>
      <c r="O73" s="134"/>
      <c r="P73" s="221"/>
      <c r="Q73" s="221"/>
      <c r="R73" s="221"/>
      <c r="S73" s="221"/>
      <c r="T73" s="221"/>
      <c r="U73" s="221"/>
      <c r="V73" s="221"/>
      <c r="W73" s="221"/>
      <c r="X73" s="221"/>
      <c r="Y73" s="221"/>
      <c r="Z73" s="221"/>
      <c r="AA73" s="221"/>
      <c r="AB73" s="221"/>
      <c r="AC73" s="221"/>
      <c r="AD73" s="221"/>
      <c r="AE73" s="221"/>
      <c r="AH73" s="223"/>
      <c r="AI73" s="223"/>
      <c r="AJ73" s="223"/>
      <c r="AK73" s="223"/>
    </row>
    <row r="74" spans="1:43">
      <c r="A74" s="31"/>
      <c r="B74" s="53"/>
      <c r="C74" s="53"/>
      <c r="D74" s="53"/>
      <c r="E74" s="53"/>
      <c r="F74" s="53"/>
      <c r="G74" s="53"/>
      <c r="H74" s="222"/>
      <c r="I74" s="134"/>
      <c r="J74" s="134"/>
      <c r="K74" s="134"/>
      <c r="L74" s="134"/>
      <c r="M74" s="134"/>
      <c r="N74" s="134"/>
      <c r="O74" s="134"/>
      <c r="P74" s="221"/>
      <c r="Q74" s="221"/>
      <c r="R74" s="221"/>
      <c r="S74" s="221"/>
      <c r="T74" s="221"/>
      <c r="U74" s="221"/>
      <c r="V74" s="221"/>
      <c r="W74" s="221"/>
      <c r="X74" s="221"/>
      <c r="Y74" s="221"/>
      <c r="Z74" s="221"/>
      <c r="AA74" s="221"/>
      <c r="AB74" s="221"/>
      <c r="AC74" s="221"/>
      <c r="AD74" s="221"/>
      <c r="AE74" s="221"/>
      <c r="AH74" s="223"/>
      <c r="AI74" s="223"/>
      <c r="AJ74" s="223"/>
      <c r="AK74" s="223"/>
    </row>
    <row r="75" spans="1:43">
      <c r="A75" s="31"/>
      <c r="B75" s="53"/>
      <c r="C75" s="53"/>
      <c r="D75" s="53"/>
      <c r="E75" s="53"/>
      <c r="F75" s="53"/>
      <c r="G75" s="53"/>
      <c r="H75" s="222"/>
      <c r="I75" s="134"/>
      <c r="J75" s="134"/>
      <c r="K75" s="134"/>
      <c r="L75" s="134"/>
      <c r="M75" s="134"/>
      <c r="N75" s="134"/>
      <c r="O75" s="134"/>
      <c r="P75" s="221"/>
      <c r="Q75" s="221"/>
      <c r="R75" s="221"/>
      <c r="S75" s="221"/>
      <c r="T75" s="221"/>
      <c r="U75" s="221"/>
      <c r="V75" s="221"/>
      <c r="W75" s="221"/>
      <c r="X75" s="221"/>
      <c r="Y75" s="221"/>
      <c r="Z75" s="221"/>
      <c r="AA75" s="221"/>
      <c r="AB75" s="221"/>
      <c r="AC75" s="221"/>
      <c r="AD75" s="221"/>
      <c r="AE75" s="221"/>
      <c r="AH75" s="223"/>
      <c r="AI75" s="223"/>
      <c r="AJ75" s="223"/>
      <c r="AK75" s="223"/>
    </row>
    <row r="76" spans="1:43" hidden="1">
      <c r="A76" s="31"/>
      <c r="B76" s="53"/>
      <c r="C76" s="53"/>
      <c r="D76" s="53"/>
      <c r="E76" s="53"/>
      <c r="F76" s="53"/>
      <c r="G76" s="53"/>
      <c r="H76" s="222"/>
      <c r="I76" s="134"/>
      <c r="J76" s="134"/>
      <c r="K76" s="134"/>
      <c r="L76" s="134"/>
      <c r="M76" s="134"/>
      <c r="N76" s="134"/>
      <c r="O76" s="134"/>
      <c r="P76" s="221"/>
      <c r="Q76" s="221"/>
      <c r="R76" s="221"/>
      <c r="S76" s="221"/>
      <c r="T76" s="221"/>
      <c r="U76" s="221"/>
      <c r="V76" s="221"/>
      <c r="W76" s="221"/>
      <c r="X76" s="221"/>
      <c r="Y76" s="221"/>
      <c r="Z76" s="221"/>
      <c r="AA76" s="221"/>
      <c r="AB76" s="221"/>
      <c r="AC76" s="221"/>
      <c r="AD76" s="221"/>
      <c r="AE76" s="221"/>
      <c r="AH76" s="223"/>
      <c r="AI76" s="223"/>
      <c r="AJ76" s="223"/>
      <c r="AK76" s="223"/>
    </row>
    <row r="77" spans="1:43" hidden="1">
      <c r="G77" s="158"/>
      <c r="AG77" s="82"/>
      <c r="AH77" s="82"/>
      <c r="AI77" s="82"/>
      <c r="AJ77" s="82"/>
      <c r="AK77" s="82"/>
      <c r="AP77">
        <v>0.27</v>
      </c>
      <c r="AQ77" t="s">
        <v>31</v>
      </c>
    </row>
    <row r="78" spans="1:43"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9">SUM(J78:M78)</f>
        <v>0</v>
      </c>
      <c r="O78" s="134"/>
      <c r="P78" s="143"/>
      <c r="Q78" s="134"/>
      <c r="R78" s="218"/>
      <c r="S78" s="134"/>
      <c r="T78" s="134"/>
      <c r="U78" s="134"/>
      <c r="V78" s="134"/>
      <c r="W78" s="134"/>
      <c r="X78" s="134"/>
      <c r="Y78" s="134"/>
      <c r="Z78" s="134"/>
      <c r="AA78" s="134"/>
      <c r="AB78" s="134"/>
      <c r="AC78" s="134"/>
      <c r="AD78" s="134"/>
      <c r="AE78" s="134"/>
      <c r="AG78" s="95"/>
      <c r="AH78" s="35"/>
      <c r="AI78" s="35"/>
      <c r="AJ78" s="35"/>
      <c r="AK78" s="79"/>
      <c r="AP78" s="71">
        <f>SUM(AP45:AP77)</f>
        <v>0.27</v>
      </c>
    </row>
    <row r="79" spans="1:43"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9"/>
        <v>0</v>
      </c>
      <c r="O79" s="135"/>
      <c r="P79" s="135"/>
      <c r="Q79" s="135"/>
      <c r="R79" s="135"/>
      <c r="S79" s="135"/>
      <c r="T79" s="135"/>
      <c r="U79" s="135"/>
      <c r="V79" s="135"/>
      <c r="W79" s="135"/>
      <c r="X79" s="135"/>
      <c r="Y79" s="135"/>
      <c r="Z79" s="135"/>
      <c r="AA79" s="135"/>
      <c r="AB79" s="135"/>
      <c r="AC79" s="135"/>
      <c r="AD79" s="135"/>
      <c r="AE79" s="135"/>
      <c r="AG79" s="81"/>
      <c r="AH79" s="92"/>
      <c r="AI79" s="88"/>
      <c r="AJ79" s="92"/>
      <c r="AK79" s="128"/>
    </row>
    <row r="80" spans="1:43"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9"/>
        <v>0</v>
      </c>
      <c r="O80" s="135"/>
      <c r="P80" s="135"/>
      <c r="Q80" s="135">
        <f>Q79-Q78</f>
        <v>0</v>
      </c>
      <c r="R80" s="135"/>
      <c r="S80" s="135"/>
      <c r="T80" s="135"/>
      <c r="U80" s="135"/>
      <c r="V80" s="135"/>
      <c r="W80" s="135"/>
      <c r="X80" s="135"/>
      <c r="Y80" s="135"/>
      <c r="Z80" s="135"/>
      <c r="AA80" s="135"/>
      <c r="AB80" s="135"/>
      <c r="AC80" s="135"/>
      <c r="AD80" s="135"/>
      <c r="AE80" s="135"/>
      <c r="AG80" s="96"/>
      <c r="AH80" s="79"/>
      <c r="AI80" s="97"/>
      <c r="AJ80" s="35"/>
      <c r="AK80" s="89"/>
    </row>
    <row r="81" spans="2:37"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9"/>
        <v>0</v>
      </c>
      <c r="O81" s="135"/>
      <c r="P81" s="135"/>
      <c r="Q81" s="135"/>
      <c r="R81" s="135"/>
      <c r="S81" s="135"/>
      <c r="T81" s="135"/>
      <c r="U81" s="135"/>
      <c r="V81" s="135"/>
      <c r="W81" s="135"/>
      <c r="X81" s="135"/>
      <c r="Y81" s="135"/>
      <c r="Z81" s="135"/>
      <c r="AA81" s="135"/>
      <c r="AB81" s="135"/>
      <c r="AC81" s="135"/>
      <c r="AD81" s="135"/>
      <c r="AE81" s="135"/>
      <c r="AG81" s="85"/>
      <c r="AH81" s="87"/>
      <c r="AI81" s="86"/>
      <c r="AJ81" s="86"/>
      <c r="AK81" s="87"/>
    </row>
    <row r="82" spans="2:37"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9"/>
        <v>0</v>
      </c>
      <c r="O82" s="135"/>
      <c r="P82" s="135"/>
      <c r="Q82" s="135"/>
      <c r="R82" s="135"/>
      <c r="S82" s="135"/>
      <c r="T82" s="135"/>
      <c r="U82" s="135"/>
      <c r="V82" s="135"/>
      <c r="W82" s="135"/>
      <c r="X82" s="135"/>
      <c r="Y82" s="135"/>
      <c r="Z82" s="135"/>
      <c r="AA82" s="135"/>
      <c r="AB82" s="135"/>
      <c r="AC82" s="135"/>
      <c r="AD82" s="135"/>
      <c r="AE82" s="135"/>
      <c r="AG82" s="90"/>
      <c r="AH82" s="94"/>
      <c r="AI82" s="92"/>
      <c r="AJ82" s="93"/>
      <c r="AK82" s="94"/>
    </row>
    <row r="83" spans="2:37"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9"/>
        <v>0</v>
      </c>
      <c r="O83" s="135"/>
      <c r="P83" s="135"/>
      <c r="Q83" s="135"/>
      <c r="R83" s="135"/>
      <c r="S83" s="135"/>
      <c r="T83" s="135"/>
      <c r="U83" s="135"/>
      <c r="V83" s="135"/>
      <c r="W83" s="135"/>
      <c r="X83" s="135"/>
      <c r="Y83" s="135"/>
      <c r="Z83" s="135"/>
      <c r="AA83" s="135"/>
      <c r="AB83" s="135"/>
      <c r="AC83" s="135"/>
      <c r="AD83" s="135"/>
      <c r="AE83" s="135"/>
      <c r="AG83" s="90"/>
      <c r="AH83" s="112"/>
      <c r="AI83" s="92"/>
      <c r="AJ83" s="91"/>
      <c r="AK83" s="98"/>
    </row>
    <row r="84" spans="2:37"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9"/>
        <v>0</v>
      </c>
      <c r="O84" s="135"/>
      <c r="P84" s="135"/>
      <c r="Q84" s="135"/>
      <c r="R84" s="135"/>
      <c r="S84" s="135"/>
      <c r="T84" s="135"/>
      <c r="U84" s="135"/>
      <c r="V84" s="135"/>
      <c r="W84" s="135"/>
      <c r="X84" s="135"/>
      <c r="Y84" s="135"/>
      <c r="Z84" s="135"/>
      <c r="AA84" s="135"/>
      <c r="AB84" s="135"/>
      <c r="AC84" s="135"/>
      <c r="AD84" s="135"/>
      <c r="AE84" s="135"/>
      <c r="AG84" s="90"/>
      <c r="AH84" s="112"/>
      <c r="AI84" s="92"/>
      <c r="AJ84" s="91"/>
      <c r="AK84" s="98"/>
    </row>
    <row r="85" spans="2:37"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9"/>
        <v>0</v>
      </c>
      <c r="O85" s="135"/>
      <c r="P85" s="135"/>
      <c r="Q85" s="135"/>
      <c r="R85" s="135"/>
      <c r="S85" s="135"/>
      <c r="T85" s="135"/>
      <c r="U85" s="135"/>
      <c r="V85" s="135"/>
      <c r="W85" s="135"/>
      <c r="X85" s="135"/>
      <c r="Y85" s="135"/>
      <c r="Z85" s="135"/>
      <c r="AA85" s="135"/>
      <c r="AB85" s="135"/>
      <c r="AC85" s="135"/>
      <c r="AD85" s="135"/>
      <c r="AE85" s="135"/>
      <c r="AG85" s="90"/>
      <c r="AH85" s="112"/>
      <c r="AI85" s="92"/>
      <c r="AJ85" s="91"/>
      <c r="AK85" s="98"/>
    </row>
    <row r="86" spans="2:37"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9"/>
        <v>0</v>
      </c>
      <c r="O86" s="135"/>
      <c r="P86" s="135"/>
      <c r="Q86" s="135"/>
      <c r="R86" s="135"/>
      <c r="S86" s="135"/>
      <c r="T86" s="135"/>
      <c r="U86" s="135"/>
      <c r="V86" s="135"/>
      <c r="W86" s="135"/>
      <c r="X86" s="135"/>
      <c r="Y86" s="135"/>
      <c r="Z86" s="135"/>
      <c r="AA86" s="135"/>
      <c r="AB86" s="135"/>
      <c r="AC86" s="135"/>
      <c r="AD86" s="135"/>
      <c r="AE86" s="135"/>
      <c r="AG86" s="90"/>
      <c r="AH86" s="112"/>
      <c r="AI86" s="92"/>
      <c r="AJ86" s="91"/>
      <c r="AK86" s="98"/>
    </row>
    <row r="87" spans="2:37"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9"/>
        <v>0</v>
      </c>
      <c r="O87" s="135"/>
      <c r="P87" s="135"/>
      <c r="Q87" s="135"/>
      <c r="R87" s="135"/>
      <c r="S87" s="135"/>
      <c r="T87" s="135"/>
      <c r="U87" s="135"/>
      <c r="V87" s="135"/>
      <c r="W87" s="135"/>
      <c r="X87" s="135"/>
      <c r="Y87" s="135"/>
      <c r="Z87" s="135"/>
      <c r="AA87" s="135"/>
      <c r="AB87" s="135"/>
      <c r="AC87" s="135"/>
      <c r="AD87" s="135"/>
      <c r="AE87" s="135"/>
      <c r="AG87" s="356"/>
      <c r="AH87" s="357"/>
      <c r="AI87" s="31"/>
      <c r="AJ87" s="358"/>
      <c r="AK87" s="359"/>
    </row>
    <row r="88" spans="2:37"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9"/>
        <v>0</v>
      </c>
      <c r="O88" s="135"/>
      <c r="P88" s="135"/>
      <c r="Q88" s="135"/>
      <c r="R88" s="135"/>
      <c r="S88" s="135"/>
      <c r="T88" s="135"/>
      <c r="U88" s="135"/>
      <c r="V88" s="135"/>
      <c r="W88" s="135"/>
      <c r="X88" s="135"/>
      <c r="Y88" s="135"/>
      <c r="Z88" s="135"/>
      <c r="AA88" s="135"/>
      <c r="AB88" s="135"/>
      <c r="AC88" s="135"/>
      <c r="AD88" s="135"/>
      <c r="AE88" s="135"/>
      <c r="AG88" s="356"/>
      <c r="AH88" s="357"/>
      <c r="AI88" s="31"/>
      <c r="AJ88" s="358"/>
      <c r="AK88" s="359"/>
    </row>
    <row r="89" spans="2:37"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9"/>
        <v>0</v>
      </c>
      <c r="O89" s="135"/>
      <c r="P89" s="135"/>
      <c r="Q89" s="135"/>
      <c r="R89" s="135"/>
      <c r="S89" s="135"/>
      <c r="T89" s="135"/>
      <c r="U89" s="135"/>
      <c r="V89" s="135"/>
      <c r="W89" s="135"/>
      <c r="X89" s="135"/>
      <c r="Y89" s="135"/>
      <c r="Z89" s="135"/>
      <c r="AA89" s="135"/>
      <c r="AB89" s="135"/>
      <c r="AC89" s="135"/>
      <c r="AD89" s="135"/>
      <c r="AE89" s="135"/>
      <c r="AG89" s="356"/>
      <c r="AH89" s="357"/>
      <c r="AI89" s="31"/>
      <c r="AJ89" s="358"/>
      <c r="AK89" s="359"/>
    </row>
    <row r="90" spans="2:37"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9"/>
        <v>0</v>
      </c>
      <c r="O90" s="135"/>
      <c r="P90" s="135"/>
      <c r="Q90" s="135"/>
      <c r="R90" s="135"/>
      <c r="S90" s="135"/>
      <c r="T90" s="135"/>
      <c r="U90" s="135"/>
      <c r="V90" s="135"/>
      <c r="W90" s="135"/>
      <c r="X90" s="135"/>
      <c r="Y90" s="135"/>
      <c r="Z90" s="135"/>
      <c r="AA90" s="135"/>
      <c r="AB90" s="135"/>
      <c r="AC90" s="135"/>
      <c r="AD90" s="135"/>
      <c r="AE90" s="135"/>
      <c r="AG90" s="356"/>
      <c r="AH90" s="357"/>
      <c r="AI90" s="31"/>
      <c r="AJ90" s="358"/>
      <c r="AK90" s="359"/>
    </row>
    <row r="91" spans="2:37"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9"/>
        <v>0</v>
      </c>
      <c r="O91" s="135"/>
      <c r="P91" s="135"/>
      <c r="Q91" s="135"/>
      <c r="R91" s="135"/>
      <c r="S91" s="135"/>
      <c r="T91" s="135"/>
      <c r="U91" s="135"/>
      <c r="V91" s="135"/>
      <c r="W91" s="135"/>
      <c r="X91" s="135"/>
      <c r="Y91" s="135"/>
      <c r="Z91" s="135"/>
      <c r="AA91" s="135"/>
      <c r="AB91" s="135"/>
      <c r="AC91" s="135"/>
      <c r="AD91" s="135"/>
      <c r="AE91" s="135"/>
      <c r="AG91" s="356"/>
      <c r="AH91" s="357"/>
      <c r="AI91" s="31"/>
      <c r="AJ91" s="358"/>
      <c r="AK91" s="359"/>
    </row>
    <row r="92" spans="2:37"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9"/>
        <v>0</v>
      </c>
      <c r="O92" s="135"/>
      <c r="P92" s="135"/>
      <c r="Q92" s="135"/>
      <c r="R92" s="135"/>
      <c r="S92" s="135"/>
      <c r="T92" s="135"/>
      <c r="U92" s="135"/>
      <c r="V92" s="135"/>
      <c r="W92" s="135"/>
      <c r="X92" s="135"/>
      <c r="Y92" s="135"/>
      <c r="Z92" s="135"/>
      <c r="AA92" s="135"/>
      <c r="AB92" s="135"/>
      <c r="AC92" s="135"/>
      <c r="AD92" s="135"/>
      <c r="AE92" s="135"/>
      <c r="AG92" s="356"/>
      <c r="AH92" s="357"/>
      <c r="AI92" s="31"/>
      <c r="AJ92" s="358"/>
      <c r="AK92" s="359"/>
    </row>
    <row r="93" spans="2:37"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9"/>
        <v>0</v>
      </c>
      <c r="O93" s="135"/>
      <c r="P93" s="135"/>
      <c r="Q93" s="135"/>
      <c r="R93" s="135"/>
      <c r="S93" s="135"/>
      <c r="T93" s="135"/>
      <c r="U93" s="135"/>
      <c r="V93" s="135"/>
      <c r="W93" s="135"/>
      <c r="X93" s="135"/>
      <c r="Y93" s="135"/>
      <c r="Z93" s="135"/>
      <c r="AA93" s="135"/>
      <c r="AB93" s="135"/>
      <c r="AC93" s="135"/>
      <c r="AD93" s="135"/>
      <c r="AE93" s="135"/>
      <c r="AG93" s="356"/>
      <c r="AH93" s="357"/>
      <c r="AI93" s="31"/>
      <c r="AJ93" s="358"/>
      <c r="AK93" s="359"/>
    </row>
    <row r="94" spans="2:37"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9"/>
        <v>0</v>
      </c>
      <c r="O94" s="135"/>
      <c r="P94" s="135"/>
      <c r="Q94" s="135"/>
      <c r="R94" s="135"/>
      <c r="S94" s="135"/>
      <c r="T94" s="135"/>
      <c r="U94" s="135"/>
      <c r="V94" s="135"/>
      <c r="W94" s="135"/>
      <c r="X94" s="135"/>
      <c r="Y94" s="135"/>
      <c r="Z94" s="135"/>
      <c r="AA94" s="135"/>
      <c r="AB94" s="135"/>
      <c r="AC94" s="135"/>
      <c r="AD94" s="135"/>
      <c r="AE94" s="135"/>
      <c r="AG94" s="356"/>
      <c r="AH94" s="357"/>
      <c r="AI94" s="31"/>
      <c r="AJ94" s="358"/>
      <c r="AK94" s="359"/>
    </row>
    <row r="95" spans="2:37"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9"/>
        <v>0</v>
      </c>
      <c r="O95" s="135"/>
      <c r="P95" s="135"/>
      <c r="Q95" s="135"/>
      <c r="R95" s="135"/>
      <c r="S95" s="135"/>
      <c r="T95" s="135"/>
      <c r="U95" s="135"/>
      <c r="V95" s="135"/>
      <c r="W95" s="135"/>
      <c r="X95" s="135"/>
      <c r="Y95" s="135"/>
      <c r="Z95" s="135"/>
      <c r="AA95" s="135"/>
      <c r="AB95" s="135"/>
      <c r="AC95" s="135"/>
      <c r="AD95" s="135"/>
      <c r="AE95" s="135"/>
      <c r="AG95" s="356"/>
      <c r="AH95" s="357"/>
      <c r="AI95" s="31"/>
      <c r="AJ95" s="358"/>
      <c r="AK95" s="359"/>
    </row>
    <row r="96" spans="2:37"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9"/>
        <v>0</v>
      </c>
      <c r="O96" s="135"/>
      <c r="P96" s="135"/>
      <c r="Q96" s="135"/>
      <c r="R96" s="135"/>
      <c r="S96" s="135"/>
      <c r="T96" s="135"/>
      <c r="U96" s="135"/>
      <c r="V96" s="135"/>
      <c r="W96" s="135"/>
      <c r="X96" s="135"/>
      <c r="Y96" s="135"/>
      <c r="Z96" s="135"/>
      <c r="AA96" s="135"/>
      <c r="AB96" s="135"/>
      <c r="AC96" s="135"/>
      <c r="AD96" s="135"/>
      <c r="AE96" s="135"/>
      <c r="AG96" s="356"/>
      <c r="AH96" s="357"/>
      <c r="AI96" s="31"/>
      <c r="AJ96" s="358"/>
      <c r="AK96" s="359"/>
    </row>
    <row r="97" spans="2:37"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9"/>
        <v>0</v>
      </c>
      <c r="O97" s="135"/>
      <c r="P97" s="135"/>
      <c r="Q97" s="135"/>
      <c r="R97" s="135"/>
      <c r="S97" s="135"/>
      <c r="T97" s="135"/>
      <c r="U97" s="135"/>
      <c r="V97" s="135"/>
      <c r="W97" s="135"/>
      <c r="X97" s="135"/>
      <c r="Y97" s="135"/>
      <c r="Z97" s="135"/>
      <c r="AA97" s="135"/>
      <c r="AB97" s="135"/>
      <c r="AC97" s="135"/>
      <c r="AD97" s="135"/>
      <c r="AE97" s="135"/>
      <c r="AG97" s="356"/>
      <c r="AH97" s="357"/>
      <c r="AI97" s="31"/>
      <c r="AJ97" s="358"/>
      <c r="AK97" s="359"/>
    </row>
    <row r="98" spans="2:37"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9"/>
        <v>0</v>
      </c>
      <c r="O98" s="135"/>
      <c r="P98" s="135"/>
      <c r="Q98" s="135"/>
      <c r="R98" s="135"/>
      <c r="S98" s="135"/>
      <c r="T98" s="135"/>
      <c r="U98" s="135"/>
      <c r="V98" s="135"/>
      <c r="W98" s="135"/>
      <c r="X98" s="135"/>
      <c r="Y98" s="135"/>
      <c r="Z98" s="135"/>
      <c r="AA98" s="135"/>
      <c r="AB98" s="135"/>
      <c r="AC98" s="135"/>
      <c r="AD98" s="135"/>
      <c r="AE98" s="135"/>
      <c r="AG98" s="81"/>
      <c r="AH98" s="82"/>
      <c r="AI98" s="82"/>
      <c r="AJ98" s="82"/>
      <c r="AK98" s="83"/>
    </row>
    <row r="99" spans="2:37" hidden="1"/>
    <row r="100" spans="2:37" hidden="1"/>
  </sheetData>
  <sheetProtection password="C7E2" sheet="1" objects="1" scenarios="1"/>
  <mergeCells count="50">
    <mergeCell ref="D2:L2"/>
    <mergeCell ref="R65:T65"/>
    <mergeCell ref="R66:T67"/>
    <mergeCell ref="AI21:AK21"/>
    <mergeCell ref="AG21:AH21"/>
    <mergeCell ref="D11:G12"/>
    <mergeCell ref="D9:G10"/>
    <mergeCell ref="D7:E8"/>
    <mergeCell ref="A65:N67"/>
    <mergeCell ref="D20:F21"/>
    <mergeCell ref="Z2:Z3"/>
    <mergeCell ref="T4:V8"/>
    <mergeCell ref="W4:W8"/>
    <mergeCell ref="X4:X8"/>
    <mergeCell ref="Y4:Y8"/>
    <mergeCell ref="Z4:Z8"/>
    <mergeCell ref="R2:S3"/>
    <mergeCell ref="R4:S8"/>
    <mergeCell ref="R9:S11"/>
    <mergeCell ref="R12:S14"/>
    <mergeCell ref="R1:Z1"/>
    <mergeCell ref="T2:V3"/>
    <mergeCell ref="W2:W3"/>
    <mergeCell ref="X2:X3"/>
    <mergeCell ref="Y2:Y3"/>
    <mergeCell ref="X9:X11"/>
    <mergeCell ref="Y9:Y11"/>
    <mergeCell ref="Z9:Z11"/>
    <mergeCell ref="W12:W14"/>
    <mergeCell ref="Y12:Y14"/>
    <mergeCell ref="T12:V14"/>
    <mergeCell ref="T9:V11"/>
    <mergeCell ref="W9:W11"/>
    <mergeCell ref="Z12:Z14"/>
    <mergeCell ref="Z15:Z17"/>
    <mergeCell ref="Z18:Z21"/>
    <mergeCell ref="W15:W17"/>
    <mergeCell ref="W18:W21"/>
    <mergeCell ref="X12:X14"/>
    <mergeCell ref="X15:X17"/>
    <mergeCell ref="X18:X21"/>
    <mergeCell ref="R23:Z23"/>
    <mergeCell ref="R24:Z24"/>
    <mergeCell ref="R25:Z25"/>
    <mergeCell ref="Y15:Y17"/>
    <mergeCell ref="Y18:Y21"/>
    <mergeCell ref="R15:S17"/>
    <mergeCell ref="R18:S21"/>
    <mergeCell ref="T15:V17"/>
    <mergeCell ref="T18:V21"/>
  </mergeCells>
  <phoneticPr fontId="0" type="noConversion"/>
  <conditionalFormatting sqref="N21">
    <cfRule type="cellIs" dxfId="2" priority="1" stopIfTrue="1" operator="equal">
      <formula>"Yes"</formula>
    </cfRule>
  </conditionalFormatting>
  <dataValidations count="9">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allowBlank="1" showInputMessage="1" showErrorMessage="1" error="Please enter a number between 1 and 5 to denote the appropriate salary cap." sqref="G50"/>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R23" r:id="rId1"/>
    <hyperlink ref="S23" r:id="rId2" display="http://report.nih.gov/FileLink.aspx?rid=824"/>
    <hyperlink ref="T23" r:id="rId3" display="http://report.nih.gov/FileLink.aspx?rid=824"/>
    <hyperlink ref="U23" r:id="rId4" display="http://report.nih.gov/FileLink.aspx?rid=824"/>
    <hyperlink ref="V23" r:id="rId5" display="http://report.nih.gov/FileLink.aspx?rid=824"/>
    <hyperlink ref="W23" r:id="rId6" display="http://report.nih.gov/FileLink.aspx?rid=824"/>
    <hyperlink ref="R24" r:id="rId7"/>
    <hyperlink ref="W26" r:id="rId8"/>
    <hyperlink ref="Y26" r:id="rId9"/>
  </hyperlinks>
  <pageMargins left="0.2" right="0.2" top="0.25" bottom="0.25" header="0.33" footer="0.5"/>
  <pageSetup scale="65"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N101"/>
  <sheetViews>
    <sheetView showGridLines="0" showZeros="0" topLeftCell="A2" zoomScale="125" zoomScaleNormal="125" zoomScalePageLayoutView="125" workbookViewId="0">
      <selection activeCell="D7" sqref="D7:E8"/>
    </sheetView>
  </sheetViews>
  <sheetFormatPr baseColWidth="10" defaultColWidth="8.83203125" defaultRowHeight="12" x14ac:dyDescent="0"/>
  <cols>
    <col min="1" max="1" width="4.6640625" style="47" customWidth="1"/>
    <col min="2" max="2" width="8.6640625" customWidth="1"/>
    <col min="3" max="3" width="8.33203125" customWidth="1"/>
    <col min="4" max="4" width="9.5" customWidth="1"/>
    <col min="5" max="5" width="14.6640625" customWidth="1"/>
    <col min="6" max="6" width="9" customWidth="1"/>
    <col min="7" max="7" width="9.33203125" customWidth="1"/>
    <col min="8" max="8" width="15" customWidth="1"/>
    <col min="9"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4.83203125" customWidth="1"/>
    <col min="38" max="38" width="18.33203125" customWidth="1"/>
    <col min="39" max="39" width="22" customWidth="1"/>
    <col min="40" max="40" width="23" customWidth="1"/>
  </cols>
  <sheetData>
    <row r="1" spans="1:40" ht="51" customHeight="1" thickBot="1">
      <c r="A1" s="242"/>
      <c r="B1" s="504" t="s">
        <v>153</v>
      </c>
      <c r="C1" s="243"/>
      <c r="D1" s="243"/>
      <c r="E1" s="243"/>
      <c r="F1" s="243"/>
      <c r="G1" s="243"/>
      <c r="H1" s="243"/>
      <c r="I1" s="243"/>
      <c r="J1" s="243"/>
      <c r="K1" s="243"/>
      <c r="L1" s="243"/>
      <c r="M1" s="243"/>
      <c r="N1" s="243"/>
      <c r="O1" s="55"/>
      <c r="P1" s="244"/>
      <c r="Q1" s="55"/>
      <c r="R1" s="55"/>
      <c r="S1" s="55"/>
      <c r="T1" s="55"/>
      <c r="U1" s="55"/>
      <c r="V1" s="55"/>
      <c r="AF1" s="618" t="s">
        <v>155</v>
      </c>
      <c r="AG1" s="618"/>
      <c r="AH1" s="618"/>
      <c r="AI1" s="618"/>
      <c r="AJ1" s="618"/>
      <c r="AK1" s="618"/>
      <c r="AL1" s="618"/>
      <c r="AM1" s="618"/>
      <c r="AN1" s="618"/>
    </row>
    <row r="2" spans="1:40" ht="26.25" customHeight="1" thickBot="1">
      <c r="D2" s="620" t="s">
        <v>193</v>
      </c>
      <c r="E2" s="620"/>
      <c r="F2" s="620"/>
      <c r="G2" s="620"/>
      <c r="H2" s="620"/>
      <c r="I2" s="620"/>
      <c r="J2" s="620"/>
      <c r="K2" s="620"/>
      <c r="L2" s="620"/>
      <c r="AF2" s="611" t="s">
        <v>156</v>
      </c>
      <c r="AG2" s="612"/>
      <c r="AH2" s="612" t="s">
        <v>157</v>
      </c>
      <c r="AI2" s="612"/>
      <c r="AJ2" s="612"/>
      <c r="AK2" s="612" t="s">
        <v>158</v>
      </c>
      <c r="AL2" s="612" t="s">
        <v>159</v>
      </c>
      <c r="AM2" s="612" t="s">
        <v>184</v>
      </c>
      <c r="AN2" s="658" t="s">
        <v>161</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613"/>
      <c r="AG3" s="614"/>
      <c r="AH3" s="614"/>
      <c r="AI3" s="614"/>
      <c r="AJ3" s="614"/>
      <c r="AK3" s="614"/>
      <c r="AL3" s="614"/>
      <c r="AM3" s="614"/>
      <c r="AN3" s="659"/>
    </row>
    <row r="4" spans="1:40" ht="12" customHeight="1">
      <c r="A4" s="64"/>
      <c r="B4" s="212" t="s">
        <v>125</v>
      </c>
      <c r="C4" s="73"/>
      <c r="D4" s="73"/>
      <c r="E4" s="35"/>
      <c r="F4" s="35"/>
      <c r="G4" s="35"/>
      <c r="H4" s="35"/>
      <c r="I4" s="35"/>
      <c r="J4" s="35"/>
      <c r="K4" s="35"/>
      <c r="L4" s="265" t="s">
        <v>81</v>
      </c>
      <c r="M4" s="265"/>
      <c r="N4" s="378" t="s">
        <v>119</v>
      </c>
      <c r="O4" s="374"/>
      <c r="P4" s="376" t="s">
        <v>118</v>
      </c>
      <c r="Q4" s="35"/>
      <c r="R4" s="35"/>
      <c r="S4" s="35"/>
      <c r="T4" s="35"/>
      <c r="U4" s="35"/>
      <c r="V4" s="35"/>
      <c r="AF4" s="615" t="s">
        <v>162</v>
      </c>
      <c r="AG4" s="616"/>
      <c r="AH4" s="660" t="s">
        <v>163</v>
      </c>
      <c r="AI4" s="661"/>
      <c r="AJ4" s="616"/>
      <c r="AK4" s="662" t="s">
        <v>185</v>
      </c>
      <c r="AL4" s="663" t="s">
        <v>164</v>
      </c>
      <c r="AM4" s="663" t="s">
        <v>165</v>
      </c>
      <c r="AN4" s="664" t="s">
        <v>166</v>
      </c>
    </row>
    <row r="5" spans="1:40" ht="12" hidden="1" customHeight="1">
      <c r="A5" s="64"/>
      <c r="B5" s="212"/>
      <c r="H5" s="35"/>
      <c r="I5" s="35"/>
      <c r="J5" s="35"/>
      <c r="K5" s="35"/>
      <c r="L5" s="136"/>
      <c r="M5" s="379"/>
      <c r="N5" s="88"/>
      <c r="O5" s="35"/>
      <c r="P5" s="377"/>
      <c r="Q5" s="35"/>
      <c r="R5" s="35"/>
      <c r="S5" s="35"/>
      <c r="T5" s="35"/>
      <c r="U5" s="35"/>
      <c r="V5" s="35"/>
      <c r="AF5" s="589"/>
      <c r="AG5" s="590"/>
      <c r="AH5" s="597"/>
      <c r="AI5" s="598"/>
      <c r="AJ5" s="590"/>
      <c r="AK5" s="584"/>
      <c r="AL5" s="584"/>
      <c r="AM5" s="584"/>
      <c r="AN5" s="606"/>
    </row>
    <row r="6" spans="1:40" ht="12" hidden="1" customHeight="1">
      <c r="A6" s="64"/>
      <c r="B6" s="31"/>
      <c r="G6" s="159"/>
      <c r="H6" s="159"/>
      <c r="I6" s="53"/>
      <c r="L6" s="404"/>
      <c r="M6" s="379"/>
      <c r="N6" s="88"/>
      <c r="O6" s="35"/>
      <c r="P6" s="405"/>
      <c r="Q6" s="49"/>
      <c r="R6" s="49"/>
      <c r="S6" s="49"/>
      <c r="T6" s="49"/>
      <c r="U6" s="49"/>
      <c r="V6" s="49"/>
      <c r="AF6" s="589"/>
      <c r="AG6" s="590"/>
      <c r="AH6" s="597"/>
      <c r="AI6" s="598"/>
      <c r="AJ6" s="590"/>
      <c r="AK6" s="584"/>
      <c r="AL6" s="584"/>
      <c r="AM6" s="584"/>
      <c r="AN6" s="606"/>
    </row>
    <row r="7" spans="1:40" ht="12.75" customHeight="1">
      <c r="A7" s="64"/>
      <c r="B7" s="31"/>
      <c r="D7" s="678"/>
      <c r="E7" s="679"/>
      <c r="H7" s="159"/>
      <c r="I7" s="53"/>
      <c r="J7" s="35"/>
      <c r="K7" s="35"/>
      <c r="L7" s="404" t="s">
        <v>126</v>
      </c>
      <c r="M7" s="379">
        <v>9</v>
      </c>
      <c r="N7" s="88">
        <v>166700</v>
      </c>
      <c r="O7" s="35"/>
      <c r="P7" s="405">
        <f t="shared" ref="P7:P19" si="0">N7/12</f>
        <v>13891.666666666666</v>
      </c>
      <c r="Q7" s="35"/>
      <c r="R7" s="35"/>
      <c r="S7" s="35"/>
      <c r="T7" s="35"/>
      <c r="U7" s="35"/>
      <c r="V7" s="35"/>
      <c r="X7" s="110" t="s">
        <v>30</v>
      </c>
      <c r="AA7" s="110" t="s">
        <v>39</v>
      </c>
      <c r="AB7" s="127">
        <f>SUM(Z35:AB35)</f>
        <v>0</v>
      </c>
      <c r="AF7" s="589"/>
      <c r="AG7" s="590"/>
      <c r="AH7" s="597"/>
      <c r="AI7" s="598"/>
      <c r="AJ7" s="590"/>
      <c r="AK7" s="584"/>
      <c r="AL7" s="584"/>
      <c r="AM7" s="584"/>
      <c r="AN7" s="606"/>
    </row>
    <row r="8" spans="1:40" ht="12.75" customHeight="1">
      <c r="A8" s="64"/>
      <c r="B8" s="31"/>
      <c r="C8" s="340" t="s">
        <v>113</v>
      </c>
      <c r="D8" s="680"/>
      <c r="E8" s="681"/>
      <c r="F8" s="341" t="s">
        <v>81</v>
      </c>
      <c r="H8" s="159"/>
      <c r="I8" s="53"/>
      <c r="J8" s="35"/>
      <c r="K8" s="35"/>
      <c r="L8" s="404" t="s">
        <v>127</v>
      </c>
      <c r="M8" s="379">
        <v>10</v>
      </c>
      <c r="N8" s="88">
        <v>171900</v>
      </c>
      <c r="O8" s="35"/>
      <c r="P8" s="405">
        <f t="shared" si="0"/>
        <v>14325</v>
      </c>
      <c r="Q8" s="35"/>
      <c r="R8" s="35"/>
      <c r="S8" s="35"/>
      <c r="T8" s="35"/>
      <c r="U8" s="35"/>
      <c r="V8" s="35"/>
      <c r="X8" s="110"/>
      <c r="AA8" s="110"/>
      <c r="AB8" s="127"/>
      <c r="AF8" s="591"/>
      <c r="AG8" s="592"/>
      <c r="AH8" s="599"/>
      <c r="AI8" s="600"/>
      <c r="AJ8" s="592"/>
      <c r="AK8" s="585"/>
      <c r="AL8" s="585"/>
      <c r="AM8" s="585"/>
      <c r="AN8" s="607"/>
    </row>
    <row r="9" spans="1:40" ht="12.75" customHeight="1">
      <c r="A9" s="64"/>
      <c r="B9" s="31"/>
      <c r="D9" s="672"/>
      <c r="E9" s="673"/>
      <c r="F9" s="673"/>
      <c r="G9" s="674"/>
      <c r="H9" s="159"/>
      <c r="I9" s="53"/>
      <c r="J9" s="35"/>
      <c r="K9" s="35"/>
      <c r="L9" s="404" t="s">
        <v>129</v>
      </c>
      <c r="M9" s="379">
        <v>11</v>
      </c>
      <c r="N9" s="88">
        <v>175700</v>
      </c>
      <c r="O9" s="35"/>
      <c r="P9" s="405">
        <f t="shared" si="0"/>
        <v>14641.666666666666</v>
      </c>
      <c r="Q9" s="35"/>
      <c r="R9" s="35"/>
      <c r="S9" s="35"/>
      <c r="T9" s="35"/>
      <c r="U9" s="35"/>
      <c r="V9" s="35"/>
      <c r="X9" s="110"/>
      <c r="AA9" s="110"/>
      <c r="AB9" s="127"/>
      <c r="AF9" s="617" t="s">
        <v>167</v>
      </c>
      <c r="AG9" s="604"/>
      <c r="AH9" s="604" t="s">
        <v>168</v>
      </c>
      <c r="AI9" s="604"/>
      <c r="AJ9" s="604"/>
      <c r="AK9" s="603" t="s">
        <v>186</v>
      </c>
      <c r="AL9" s="604" t="s">
        <v>171</v>
      </c>
      <c r="AM9" s="604" t="s">
        <v>172</v>
      </c>
      <c r="AN9" s="619" t="s">
        <v>166</v>
      </c>
    </row>
    <row r="10" spans="1:40" ht="12.75" customHeight="1">
      <c r="A10" s="64"/>
      <c r="B10" s="31"/>
      <c r="C10" s="136" t="s">
        <v>44</v>
      </c>
      <c r="D10" s="675"/>
      <c r="E10" s="676"/>
      <c r="F10" s="676"/>
      <c r="G10" s="677"/>
      <c r="H10" s="159"/>
      <c r="I10" s="53"/>
      <c r="J10" s="35"/>
      <c r="K10" s="35"/>
      <c r="L10" s="404" t="s">
        <v>131</v>
      </c>
      <c r="M10" s="379">
        <v>12</v>
      </c>
      <c r="N10" s="88">
        <v>180100</v>
      </c>
      <c r="O10" s="35"/>
      <c r="P10" s="405">
        <f t="shared" si="0"/>
        <v>15008.333333333334</v>
      </c>
      <c r="Q10" s="35"/>
      <c r="R10" s="35"/>
      <c r="S10" s="35"/>
      <c r="T10" s="35"/>
      <c r="U10" s="35"/>
      <c r="V10" s="35"/>
      <c r="X10" s="110"/>
      <c r="AA10" s="110"/>
      <c r="AB10" s="127"/>
      <c r="AF10" s="617"/>
      <c r="AG10" s="604"/>
      <c r="AH10" s="604"/>
      <c r="AI10" s="604"/>
      <c r="AJ10" s="604"/>
      <c r="AK10" s="604"/>
      <c r="AL10" s="604"/>
      <c r="AM10" s="604"/>
      <c r="AN10" s="619"/>
    </row>
    <row r="11" spans="1:40" ht="12.75" customHeight="1">
      <c r="A11" s="64"/>
      <c r="B11" s="31"/>
      <c r="D11" s="672"/>
      <c r="E11" s="673"/>
      <c r="F11" s="673"/>
      <c r="G11" s="674"/>
      <c r="H11" s="159"/>
      <c r="I11" s="53"/>
      <c r="J11" s="35"/>
      <c r="K11" s="35"/>
      <c r="L11" s="404" t="s">
        <v>132</v>
      </c>
      <c r="M11" s="379">
        <v>13</v>
      </c>
      <c r="N11" s="88">
        <v>183500</v>
      </c>
      <c r="O11" s="35"/>
      <c r="P11" s="405">
        <f t="shared" si="0"/>
        <v>15291.666666666666</v>
      </c>
      <c r="Q11" s="35"/>
      <c r="R11" s="35"/>
      <c r="S11" s="35"/>
      <c r="T11" s="35"/>
      <c r="U11" s="35"/>
      <c r="V11" s="35"/>
      <c r="X11" s="110"/>
      <c r="AA11" s="110"/>
      <c r="AB11" s="127"/>
      <c r="AF11" s="617"/>
      <c r="AG11" s="604"/>
      <c r="AH11" s="604"/>
      <c r="AI11" s="604"/>
      <c r="AJ11" s="604"/>
      <c r="AK11" s="604"/>
      <c r="AL11" s="604"/>
      <c r="AM11" s="604"/>
      <c r="AN11" s="619"/>
    </row>
    <row r="12" spans="1:40" ht="12.75" customHeight="1">
      <c r="A12" s="64"/>
      <c r="B12" s="31"/>
      <c r="C12" s="136" t="s">
        <v>45</v>
      </c>
      <c r="D12" s="675"/>
      <c r="E12" s="676"/>
      <c r="F12" s="676"/>
      <c r="G12" s="677"/>
      <c r="H12" s="159"/>
      <c r="I12" s="53"/>
      <c r="J12" s="35"/>
      <c r="K12" s="35"/>
      <c r="L12" s="404" t="s">
        <v>133</v>
      </c>
      <c r="M12" s="379">
        <v>14</v>
      </c>
      <c r="N12" s="88">
        <v>186600</v>
      </c>
      <c r="O12" s="35"/>
      <c r="P12" s="405">
        <f t="shared" si="0"/>
        <v>15550</v>
      </c>
      <c r="Q12" s="35"/>
      <c r="R12" s="35"/>
      <c r="S12" s="35"/>
      <c r="T12" s="35"/>
      <c r="U12" s="35"/>
      <c r="V12" s="35"/>
      <c r="X12" s="110"/>
      <c r="AA12" s="110"/>
      <c r="AB12" s="127"/>
      <c r="AF12" s="587" t="s">
        <v>167</v>
      </c>
      <c r="AG12" s="588"/>
      <c r="AH12" s="595" t="s">
        <v>173</v>
      </c>
      <c r="AI12" s="596"/>
      <c r="AJ12" s="588"/>
      <c r="AK12" s="603" t="s">
        <v>186</v>
      </c>
      <c r="AL12" s="583" t="s">
        <v>175</v>
      </c>
      <c r="AM12" s="604" t="s">
        <v>172</v>
      </c>
      <c r="AN12" s="605" t="s">
        <v>166</v>
      </c>
    </row>
    <row r="13" spans="1:40" ht="12" customHeight="1">
      <c r="A13" s="64"/>
      <c r="B13" s="31"/>
      <c r="C13" s="136"/>
      <c r="D13" s="136"/>
      <c r="E13" s="402"/>
      <c r="F13" s="403"/>
      <c r="H13" s="159"/>
      <c r="I13" s="53"/>
      <c r="J13" s="35"/>
      <c r="K13" s="35"/>
      <c r="L13" s="340" t="s">
        <v>140</v>
      </c>
      <c r="M13" s="379">
        <v>15</v>
      </c>
      <c r="N13" s="88">
        <v>200000</v>
      </c>
      <c r="O13" s="35"/>
      <c r="P13" s="405">
        <f t="shared" si="0"/>
        <v>16666.666666666668</v>
      </c>
      <c r="Q13" s="35"/>
      <c r="R13" s="35"/>
      <c r="S13" s="35"/>
      <c r="T13" s="35"/>
      <c r="U13" s="35"/>
      <c r="V13" s="35"/>
      <c r="X13" s="110"/>
      <c r="AA13" s="110"/>
      <c r="AB13" s="127"/>
      <c r="AF13" s="589"/>
      <c r="AG13" s="590"/>
      <c r="AH13" s="597"/>
      <c r="AI13" s="598"/>
      <c r="AJ13" s="590"/>
      <c r="AK13" s="604"/>
      <c r="AL13" s="584"/>
      <c r="AM13" s="604"/>
      <c r="AN13" s="606"/>
    </row>
    <row r="14" spans="1:40">
      <c r="A14" s="64"/>
      <c r="B14" s="31"/>
      <c r="C14" s="136"/>
      <c r="D14" s="136"/>
      <c r="E14" s="402"/>
      <c r="F14" s="403"/>
      <c r="H14" s="159"/>
      <c r="I14" s="53"/>
      <c r="J14" s="35"/>
      <c r="K14" s="35"/>
      <c r="L14" s="340" t="s">
        <v>136</v>
      </c>
      <c r="M14" s="379">
        <v>16</v>
      </c>
      <c r="N14" s="88">
        <v>191300</v>
      </c>
      <c r="O14" s="35"/>
      <c r="P14" s="405">
        <f t="shared" si="0"/>
        <v>15941.666666666666</v>
      </c>
      <c r="Q14" s="35"/>
      <c r="R14" s="35"/>
      <c r="S14" s="35"/>
      <c r="T14" s="35"/>
      <c r="U14" s="35"/>
      <c r="V14" s="35"/>
      <c r="X14" s="110"/>
      <c r="AA14" s="110"/>
      <c r="AB14" s="127"/>
      <c r="AF14" s="591"/>
      <c r="AG14" s="592"/>
      <c r="AH14" s="599"/>
      <c r="AI14" s="600"/>
      <c r="AJ14" s="592"/>
      <c r="AK14" s="604"/>
      <c r="AL14" s="585"/>
      <c r="AM14" s="604"/>
      <c r="AN14" s="607"/>
    </row>
    <row r="15" spans="1:40">
      <c r="A15" s="64"/>
      <c r="B15" s="31"/>
      <c r="C15" s="136"/>
      <c r="D15" s="136"/>
      <c r="E15" s="402"/>
      <c r="F15" s="403"/>
      <c r="H15" s="159"/>
      <c r="I15" s="326"/>
      <c r="J15" s="160"/>
      <c r="K15" s="160"/>
      <c r="L15" s="510" t="s">
        <v>135</v>
      </c>
      <c r="M15" s="507">
        <v>17</v>
      </c>
      <c r="N15" s="508">
        <v>207000</v>
      </c>
      <c r="O15" s="160"/>
      <c r="P15" s="509">
        <f t="shared" si="0"/>
        <v>17250</v>
      </c>
      <c r="Q15" s="35"/>
      <c r="R15" s="35"/>
      <c r="S15" s="35"/>
      <c r="T15" s="35"/>
      <c r="U15" s="35"/>
      <c r="V15" s="35"/>
      <c r="X15" s="110"/>
      <c r="AA15" s="110"/>
      <c r="AB15" s="127"/>
      <c r="AF15" s="587" t="s">
        <v>176</v>
      </c>
      <c r="AG15" s="588"/>
      <c r="AH15" s="595" t="s">
        <v>168</v>
      </c>
      <c r="AI15" s="596"/>
      <c r="AJ15" s="588"/>
      <c r="AK15" s="609" t="s">
        <v>187</v>
      </c>
      <c r="AL15" s="583" t="s">
        <v>177</v>
      </c>
      <c r="AM15" s="583" t="s">
        <v>178</v>
      </c>
      <c r="AN15" s="605" t="s">
        <v>166</v>
      </c>
    </row>
    <row r="16" spans="1:40" ht="12" customHeight="1">
      <c r="A16" s="64"/>
      <c r="B16" s="31"/>
      <c r="C16" s="136"/>
      <c r="D16" s="136"/>
      <c r="E16" s="402"/>
      <c r="F16" s="403"/>
      <c r="H16" s="159"/>
      <c r="I16" s="468"/>
      <c r="J16" s="469"/>
      <c r="K16" s="469"/>
      <c r="L16" s="470" t="s">
        <v>151</v>
      </c>
      <c r="M16" s="471">
        <v>18</v>
      </c>
      <c r="N16" s="472">
        <v>196700</v>
      </c>
      <c r="O16" s="469"/>
      <c r="P16" s="473">
        <f t="shared" si="0"/>
        <v>16391.666666666668</v>
      </c>
      <c r="Q16" s="35"/>
      <c r="R16" s="35"/>
      <c r="S16" s="35"/>
      <c r="T16" s="35"/>
      <c r="U16" s="35"/>
      <c r="V16" s="35"/>
      <c r="X16" s="110"/>
      <c r="AA16" s="110"/>
      <c r="AB16" s="127"/>
      <c r="AF16" s="589"/>
      <c r="AG16" s="590"/>
      <c r="AH16" s="597"/>
      <c r="AI16" s="598"/>
      <c r="AJ16" s="590"/>
      <c r="AK16" s="584"/>
      <c r="AL16" s="584"/>
      <c r="AM16" s="584"/>
      <c r="AN16" s="606"/>
    </row>
    <row r="17" spans="1:40">
      <c r="A17" s="64"/>
      <c r="B17" s="31"/>
      <c r="C17" s="136"/>
      <c r="D17" s="136"/>
      <c r="E17" s="402"/>
      <c r="F17" s="403"/>
      <c r="H17" s="159"/>
      <c r="I17" s="326"/>
      <c r="J17" s="160"/>
      <c r="K17" s="160"/>
      <c r="L17" s="506" t="s">
        <v>139</v>
      </c>
      <c r="M17" s="507">
        <v>19</v>
      </c>
      <c r="N17" s="508">
        <v>199700</v>
      </c>
      <c r="O17" s="160"/>
      <c r="P17" s="509">
        <f t="shared" si="0"/>
        <v>16641.666666666668</v>
      </c>
      <c r="Q17" s="35"/>
      <c r="R17" s="35"/>
      <c r="S17" s="35"/>
      <c r="T17" s="35"/>
      <c r="U17" s="35"/>
      <c r="V17" s="35"/>
      <c r="X17" s="110"/>
      <c r="AA17" s="110"/>
      <c r="AB17" s="127"/>
      <c r="AF17" s="591"/>
      <c r="AG17" s="592"/>
      <c r="AH17" s="599"/>
      <c r="AI17" s="600"/>
      <c r="AJ17" s="592"/>
      <c r="AK17" s="585"/>
      <c r="AL17" s="585"/>
      <c r="AM17" s="585"/>
      <c r="AN17" s="607"/>
    </row>
    <row r="18" spans="1:40">
      <c r="A18" s="64"/>
      <c r="B18" s="31"/>
      <c r="C18" s="136"/>
      <c r="D18" s="136"/>
      <c r="E18" s="402"/>
      <c r="F18" s="403"/>
      <c r="H18" s="159"/>
      <c r="I18" s="203"/>
      <c r="J18" s="457"/>
      <c r="K18" s="457"/>
      <c r="L18" s="505" t="s">
        <v>189</v>
      </c>
      <c r="M18" s="458">
        <v>20</v>
      </c>
      <c r="N18" s="459">
        <v>179700</v>
      </c>
      <c r="O18" s="457"/>
      <c r="P18" s="460">
        <f t="shared" si="0"/>
        <v>14975</v>
      </c>
      <c r="Q18" s="35"/>
      <c r="R18" s="35"/>
      <c r="S18" s="35"/>
      <c r="T18" s="35"/>
      <c r="U18" s="35"/>
      <c r="V18" s="35"/>
      <c r="X18" s="110"/>
      <c r="AA18" s="110"/>
      <c r="AB18" s="127"/>
      <c r="AF18" s="587" t="s">
        <v>176</v>
      </c>
      <c r="AG18" s="588"/>
      <c r="AH18" s="595" t="s">
        <v>173</v>
      </c>
      <c r="AI18" s="596"/>
      <c r="AJ18" s="588"/>
      <c r="AK18" s="609" t="s">
        <v>187</v>
      </c>
      <c r="AL18" s="583" t="s">
        <v>175</v>
      </c>
      <c r="AM18" s="583" t="s">
        <v>178</v>
      </c>
      <c r="AN18" s="605" t="s">
        <v>166</v>
      </c>
    </row>
    <row r="19" spans="1:40">
      <c r="A19" s="64"/>
      <c r="B19" s="31"/>
      <c r="C19" s="136"/>
      <c r="D19" s="136"/>
      <c r="E19" s="402"/>
      <c r="F19" s="403"/>
      <c r="H19" s="159"/>
      <c r="I19" s="203"/>
      <c r="J19" s="457"/>
      <c r="K19" s="457"/>
      <c r="L19" s="505" t="s">
        <v>192</v>
      </c>
      <c r="M19" s="458">
        <v>21</v>
      </c>
      <c r="N19" s="459">
        <v>221000</v>
      </c>
      <c r="O19" s="457"/>
      <c r="P19" s="460">
        <f t="shared" si="0"/>
        <v>18416.666666666668</v>
      </c>
      <c r="Q19" s="35"/>
      <c r="R19" s="35"/>
      <c r="S19" s="35"/>
      <c r="T19" s="35"/>
      <c r="U19" s="35"/>
      <c r="V19" s="35"/>
      <c r="X19" s="110"/>
      <c r="AA19" s="110"/>
      <c r="AB19" s="127"/>
      <c r="AF19" s="589"/>
      <c r="AG19" s="590"/>
      <c r="AH19" s="597"/>
      <c r="AI19" s="598"/>
      <c r="AJ19" s="590"/>
      <c r="AK19" s="610"/>
      <c r="AL19" s="584"/>
      <c r="AM19" s="584"/>
      <c r="AN19" s="606"/>
    </row>
    <row r="20" spans="1:40" ht="12.75" customHeight="1">
      <c r="A20" s="64"/>
      <c r="B20" s="31"/>
      <c r="C20" s="136"/>
      <c r="D20" s="666"/>
      <c r="E20" s="667"/>
      <c r="F20" s="668"/>
      <c r="H20" s="159"/>
      <c r="I20" s="53"/>
      <c r="J20" s="35"/>
      <c r="K20" s="35"/>
      <c r="L20" s="340"/>
      <c r="M20" s="379"/>
      <c r="N20" s="88"/>
      <c r="O20" s="35"/>
      <c r="P20" s="405"/>
      <c r="Q20" s="35"/>
      <c r="R20" s="35"/>
      <c r="S20" s="35"/>
      <c r="T20" s="35"/>
      <c r="U20" s="35"/>
      <c r="V20" s="35"/>
      <c r="X20" s="110"/>
      <c r="AA20" s="110"/>
      <c r="AB20" s="127"/>
      <c r="AF20" s="589"/>
      <c r="AG20" s="590"/>
      <c r="AH20" s="597"/>
      <c r="AI20" s="598"/>
      <c r="AJ20" s="590"/>
      <c r="AK20" s="584"/>
      <c r="AL20" s="584"/>
      <c r="AM20" s="584"/>
      <c r="AN20" s="606"/>
    </row>
    <row r="21" spans="1:40" ht="12.75" customHeight="1" thickBot="1">
      <c r="A21" s="64"/>
      <c r="B21" s="31"/>
      <c r="C21" s="136" t="s">
        <v>80</v>
      </c>
      <c r="D21" s="669"/>
      <c r="E21" s="670"/>
      <c r="F21" s="671"/>
      <c r="H21" s="160"/>
      <c r="I21" s="35"/>
      <c r="J21" s="35"/>
      <c r="K21" s="35"/>
      <c r="L21" s="72"/>
      <c r="M21" s="136" t="s">
        <v>70</v>
      </c>
      <c r="N21" s="132" t="str">
        <f>IF(OR(N32&gt;Fed_Limit,N33&gt;Fed_Limit,N34&gt;Fed_Limit,N35&gt;Fed_Limit),"Yes","No")</f>
        <v>No</v>
      </c>
      <c r="O21" s="132"/>
      <c r="P21" s="80"/>
      <c r="Q21" s="132"/>
      <c r="R21" s="132"/>
      <c r="S21" s="132"/>
      <c r="T21" s="132"/>
      <c r="U21" s="132"/>
      <c r="V21" s="132"/>
      <c r="X21" s="630" t="s">
        <v>36</v>
      </c>
      <c r="Y21" s="632"/>
      <c r="Z21" s="630" t="s">
        <v>34</v>
      </c>
      <c r="AA21" s="631"/>
      <c r="AB21" s="632"/>
      <c r="AF21" s="593"/>
      <c r="AG21" s="594"/>
      <c r="AH21" s="601"/>
      <c r="AI21" s="602"/>
      <c r="AJ21" s="594"/>
      <c r="AK21" s="586"/>
      <c r="AL21" s="586"/>
      <c r="AM21" s="586"/>
      <c r="AN21" s="608"/>
    </row>
    <row r="22" spans="1:40" ht="4.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579" t="s">
        <v>179</v>
      </c>
      <c r="AG23" s="579"/>
      <c r="AH23" s="579"/>
      <c r="AI23" s="579"/>
      <c r="AJ23" s="579"/>
      <c r="AK23" s="579"/>
      <c r="AL23" s="580"/>
      <c r="AM23" s="580"/>
      <c r="AN23" s="580"/>
    </row>
    <row r="24" spans="1:40" ht="14.25" customHeight="1">
      <c r="A24" s="256"/>
      <c r="B24" s="35"/>
      <c r="D24" s="56" t="s">
        <v>65</v>
      </c>
      <c r="E24" s="35"/>
      <c r="F24" s="35"/>
      <c r="G24" s="35"/>
      <c r="H24" s="35"/>
      <c r="I24" s="35"/>
      <c r="J24" s="35"/>
      <c r="K24" s="35"/>
      <c r="L24" s="35"/>
      <c r="M24" s="35"/>
      <c r="N24" s="51"/>
      <c r="O24" s="35"/>
      <c r="P24" s="35"/>
      <c r="Q24" s="35"/>
      <c r="R24" s="35"/>
      <c r="S24" s="35"/>
      <c r="T24" s="35"/>
      <c r="U24" s="35"/>
      <c r="V24" s="35"/>
      <c r="X24" s="123"/>
      <c r="Y24" s="103"/>
      <c r="Z24" s="102"/>
      <c r="AA24" s="102"/>
      <c r="AB24" s="103"/>
      <c r="AF24" s="581" t="s">
        <v>180</v>
      </c>
      <c r="AG24" s="581"/>
      <c r="AH24" s="581"/>
      <c r="AI24" s="581"/>
      <c r="AJ24" s="581"/>
      <c r="AK24" s="581"/>
      <c r="AL24" s="581"/>
      <c r="AM24" s="581"/>
      <c r="AN24" s="581"/>
    </row>
    <row r="25" spans="1:40" ht="14.25" customHeight="1">
      <c r="A25" s="64"/>
      <c r="B25" s="425"/>
      <c r="D25" s="56"/>
      <c r="E25" s="412"/>
      <c r="F25" s="329" t="s">
        <v>81</v>
      </c>
      <c r="G25" s="136" t="s">
        <v>0</v>
      </c>
      <c r="H25" s="407">
        <f>IF(ISERROR(IF(E28="",E25/J36,E28)),0,IF(E28="",E25/J36,E28))</f>
        <v>0</v>
      </c>
      <c r="I25" s="35"/>
      <c r="J25" s="35"/>
      <c r="K25" s="35"/>
      <c r="L25" s="35"/>
      <c r="M25" s="35"/>
      <c r="N25" s="51"/>
      <c r="O25" s="35"/>
      <c r="P25" s="35"/>
      <c r="Q25" s="35"/>
      <c r="R25" s="35"/>
      <c r="S25" s="35"/>
      <c r="T25" s="35"/>
      <c r="U25" s="35"/>
      <c r="V25" s="35"/>
      <c r="X25" s="123"/>
      <c r="Y25" s="103"/>
      <c r="Z25" s="102"/>
      <c r="AA25" s="102"/>
      <c r="AB25" s="103"/>
      <c r="AF25" s="582" t="s">
        <v>181</v>
      </c>
      <c r="AG25" s="582"/>
      <c r="AH25" s="582"/>
      <c r="AI25" s="582"/>
      <c r="AJ25" s="582"/>
      <c r="AK25" s="582"/>
      <c r="AL25" s="582"/>
      <c r="AM25" s="582"/>
      <c r="AN25" s="582"/>
    </row>
    <row r="26" spans="1:40" ht="14.25" customHeight="1">
      <c r="A26" s="256"/>
      <c r="B26" s="257"/>
      <c r="D26" s="35"/>
      <c r="E26" s="35"/>
      <c r="F26" s="35"/>
      <c r="H26" s="35"/>
      <c r="I26" s="35"/>
      <c r="J26" s="35"/>
      <c r="K26" s="35"/>
      <c r="L26" s="35"/>
      <c r="M26" s="35"/>
      <c r="N26" s="51"/>
      <c r="O26" s="35"/>
      <c r="P26" s="35"/>
      <c r="Q26" s="35"/>
      <c r="R26" s="35"/>
      <c r="S26" s="35"/>
      <c r="T26" s="35"/>
      <c r="U26" s="35"/>
      <c r="V26" s="35"/>
      <c r="X26" s="123"/>
      <c r="Y26" s="103"/>
      <c r="Z26" s="102"/>
      <c r="AA26" s="102"/>
      <c r="AB26" s="103"/>
      <c r="AF26" s="35"/>
      <c r="AG26" s="35"/>
      <c r="AH26" s="49"/>
      <c r="AI26" s="35"/>
      <c r="AJ26" s="136" t="s">
        <v>188</v>
      </c>
      <c r="AK26" s="530" t="s">
        <v>182</v>
      </c>
      <c r="AL26" s="35"/>
      <c r="AM26" s="262" t="s">
        <v>183</v>
      </c>
      <c r="AN26" s="35"/>
    </row>
    <row r="27" spans="1:40" ht="13.5" customHeight="1">
      <c r="A27" s="255"/>
      <c r="B27" s="35"/>
      <c r="D27" s="35" t="s">
        <v>66</v>
      </c>
      <c r="E27" s="35"/>
      <c r="F27" s="35"/>
      <c r="G27" s="136" t="s">
        <v>74</v>
      </c>
      <c r="H27" s="35"/>
      <c r="I27" s="35"/>
      <c r="J27" s="35"/>
      <c r="K27" s="35"/>
      <c r="L27" s="35"/>
      <c r="M27" s="35"/>
      <c r="N27" s="51"/>
      <c r="O27" s="35"/>
      <c r="P27" s="35"/>
      <c r="Q27" s="35"/>
      <c r="R27" s="35"/>
      <c r="S27" s="35"/>
      <c r="T27" s="35"/>
      <c r="U27" s="35"/>
      <c r="V27" s="35"/>
      <c r="X27" s="123"/>
      <c r="Y27" s="103"/>
      <c r="Z27" s="102"/>
      <c r="AA27" s="102"/>
      <c r="AB27" s="103"/>
    </row>
    <row r="28" spans="1:40" ht="13.5" customHeight="1">
      <c r="A28" s="64"/>
      <c r="B28" s="35"/>
      <c r="D28" s="35"/>
      <c r="E28" s="413"/>
      <c r="F28" s="213"/>
      <c r="H28" s="247">
        <f>IF(ISERROR(IF(E25="",E28*J36,E25)),0,IF(E25="",E28*J36,E25))</f>
        <v>0</v>
      </c>
      <c r="I28" s="35"/>
      <c r="J28" s="35"/>
      <c r="K28" s="35"/>
      <c r="L28" s="35"/>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D30" s="146" t="s">
        <v>43</v>
      </c>
      <c r="E30" s="414"/>
      <c r="F30" s="261" t="s">
        <v>81</v>
      </c>
      <c r="G30" s="161"/>
      <c r="H30" s="161"/>
      <c r="I30" s="275"/>
      <c r="J30" s="141" t="s">
        <v>42</v>
      </c>
      <c r="K30" s="93"/>
      <c r="L30" s="93"/>
      <c r="M30" s="93"/>
      <c r="N30" s="142"/>
      <c r="O30" s="86" t="s">
        <v>40</v>
      </c>
      <c r="P30" s="86"/>
      <c r="Q30" s="86"/>
      <c r="R30" s="86"/>
      <c r="S30" s="86"/>
      <c r="T30" s="86"/>
      <c r="U30" s="86"/>
      <c r="V30" s="86"/>
      <c r="X30" s="113" t="s">
        <v>8</v>
      </c>
      <c r="Y30" s="106">
        <f t="array" ref="Y30">SUM(IF($A$41:$A$61&lt;&gt;"x",$J$41:$J$61,0))</f>
        <v>0</v>
      </c>
      <c r="Z30" s="248">
        <f>Y30*$N$35</f>
        <v>0</v>
      </c>
      <c r="AA30" s="248">
        <f>AA83*Fed_Limit</f>
        <v>0</v>
      </c>
      <c r="AB30" s="84">
        <f>AB83*12</f>
        <v>0</v>
      </c>
    </row>
    <row r="31" spans="1:40" ht="13">
      <c r="A31" s="64"/>
      <c r="B31" s="35"/>
      <c r="D31" s="136" t="s">
        <v>1</v>
      </c>
      <c r="E31" s="415"/>
      <c r="F31" s="261" t="s">
        <v>81</v>
      </c>
      <c r="H31" s="162"/>
      <c r="I31" s="56"/>
      <c r="J31" s="462"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c r="A32" s="281"/>
      <c r="B32" s="56"/>
      <c r="D32" s="136" t="s">
        <v>86</v>
      </c>
      <c r="E32" s="416"/>
      <c r="F32" s="261" t="s">
        <v>81</v>
      </c>
      <c r="H32" s="162" t="s">
        <v>84</v>
      </c>
      <c r="I32" s="56"/>
      <c r="J32" s="423"/>
      <c r="K32" s="39">
        <f>SUM(Instr_Tot_HST_off)</f>
        <v>0</v>
      </c>
      <c r="L32" s="39">
        <f>IF(Scale_Off&gt;=4,SUM(Instr_Tot_HSR_off),0)</f>
        <v>0</v>
      </c>
      <c r="M32" s="39">
        <f>((N32-(Instr_base_Off+SUM(Instr_Tot_HST_off)+SUM(Instr_Tot_HSR_off))))</f>
        <v>0</v>
      </c>
      <c r="N32" s="240">
        <f>J32*H25</f>
        <v>0</v>
      </c>
      <c r="O32" s="132"/>
      <c r="P32" s="132"/>
      <c r="Q32" s="132"/>
      <c r="R32" s="132"/>
      <c r="S32" s="132"/>
      <c r="T32" s="132"/>
      <c r="U32" s="132"/>
      <c r="V32" s="132"/>
      <c r="X32" s="114"/>
      <c r="Y32" s="107"/>
      <c r="Z32" s="249"/>
      <c r="AA32" s="249"/>
      <c r="AB32" s="99"/>
    </row>
    <row r="33" spans="1:29">
      <c r="A33" s="64"/>
      <c r="B33" s="35"/>
      <c r="D33" s="136" t="s">
        <v>67</v>
      </c>
      <c r="E33" s="416"/>
      <c r="F33" s="162"/>
      <c r="G33" s="162"/>
      <c r="H33" s="253" t="s">
        <v>76</v>
      </c>
      <c r="I33" s="56"/>
      <c r="J33" s="409"/>
      <c r="K33" s="39">
        <f>SUM(Asst_Tot_HST_Off)</f>
        <v>0</v>
      </c>
      <c r="L33" s="39">
        <f>IF(Scale_Off&gt;=4,SUM(Asst_Tot_HSR_Off),0)</f>
        <v>0</v>
      </c>
      <c r="M33" s="39">
        <f>((N33-(Asst_base_Off+SUM(Asst_Tot_HST_Off)+SUM(Asst_Tot_HSR_Off))))</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c r="A34" s="64"/>
      <c r="B34" s="35"/>
      <c r="D34" s="136" t="s">
        <v>68</v>
      </c>
      <c r="E34" s="416"/>
      <c r="F34" s="162"/>
      <c r="G34" s="162"/>
      <c r="H34" s="253" t="s">
        <v>77</v>
      </c>
      <c r="I34" s="56"/>
      <c r="J34" s="409"/>
      <c r="K34" s="39">
        <f>SUM(Assoc_Tot_HST_Off)</f>
        <v>0</v>
      </c>
      <c r="L34" s="39">
        <f>IF(Scale_Off&gt;=4,SUM(Assoc_Tot_HSR_Off),0)</f>
        <v>0</v>
      </c>
      <c r="M34" s="39">
        <f>(N34-(Assoc_base_Off+SUM(Assoc_Tot_HST_Off)+SUM(Assoc_Tot_HSR_Off)))</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37"/>
      <c r="D35" s="164" t="s">
        <v>69</v>
      </c>
      <c r="E35" s="417"/>
      <c r="F35" s="163"/>
      <c r="G35" s="163"/>
      <c r="H35" s="254" t="s">
        <v>78</v>
      </c>
      <c r="I35" s="251"/>
      <c r="J35" s="424"/>
      <c r="K35" s="48">
        <f>SUM(Prof_Tot_HST_Off)</f>
        <v>0</v>
      </c>
      <c r="L35" s="48">
        <f>IF(Scale_Off&gt;=4,SUM(Prof_Tot_HSR_Off),0)</f>
        <v>0</v>
      </c>
      <c r="M35" s="41">
        <f>(N35-(Prof_base_Off+SUM(Prof_Tot_HST_Off)+SUM(Prof_Tot_HSR_Off)))</f>
        <v>0</v>
      </c>
      <c r="N35" s="219">
        <f>J35*H25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X36" s="8" t="s">
        <v>6</v>
      </c>
      <c r="Y36" s="109"/>
      <c r="Z36" s="100"/>
      <c r="AA36" s="101"/>
      <c r="AB36" s="105"/>
    </row>
    <row r="37" spans="1:29">
      <c r="B37" s="263"/>
      <c r="C37" s="35"/>
      <c r="D37" s="35"/>
      <c r="E37" s="35"/>
      <c r="F37" s="35"/>
      <c r="G37" s="35"/>
      <c r="H37" s="62"/>
      <c r="I37" s="236" t="s">
        <v>72</v>
      </c>
      <c r="J37" s="239">
        <f>J36/12</f>
        <v>0</v>
      </c>
      <c r="K37" s="239">
        <f>K36/12</f>
        <v>0</v>
      </c>
      <c r="L37" s="239">
        <f>L36/12</f>
        <v>0</v>
      </c>
      <c r="M37" s="239">
        <f>M36/12</f>
        <v>0</v>
      </c>
      <c r="N37" s="239">
        <f>N36/12</f>
        <v>0</v>
      </c>
      <c r="O37" s="252"/>
      <c r="P37" s="252"/>
      <c r="Q37" s="252"/>
      <c r="R37" s="252"/>
      <c r="S37" s="252"/>
      <c r="T37" s="252"/>
      <c r="U37" s="252"/>
      <c r="V37" s="252"/>
      <c r="X37" s="35"/>
      <c r="Y37" s="49"/>
      <c r="Z37" s="49"/>
      <c r="AA37" s="49"/>
      <c r="AB37" s="130"/>
    </row>
    <row r="38" spans="1:29" ht="13" thickBot="1">
      <c r="A38" s="262" t="s">
        <v>81</v>
      </c>
      <c r="G38" s="373"/>
      <c r="I38" s="371" t="s">
        <v>117</v>
      </c>
      <c r="J38" s="372">
        <f>ROUND(IF(N36&gt;0,J36/N36*E30,0),4)</f>
        <v>0</v>
      </c>
      <c r="K38" s="372">
        <f>ROUND(IF(N36&gt;0,K36/N36*E30,0),4)</f>
        <v>0</v>
      </c>
      <c r="L38" s="372">
        <f>ROUND(IF(N36&gt;0,L36/N36*E30,0),4)</f>
        <v>0</v>
      </c>
      <c r="M38" s="372">
        <f>SUM(N38-L38-K38-J38)</f>
        <v>0</v>
      </c>
      <c r="N38" s="372">
        <f>E30</f>
        <v>0</v>
      </c>
      <c r="P38" s="262" t="s">
        <v>81</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0"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63" t="s">
        <v>142</v>
      </c>
      <c r="K40" s="59" t="s">
        <v>3</v>
      </c>
      <c r="L40" s="59" t="s">
        <v>4</v>
      </c>
      <c r="M40" s="60" t="s">
        <v>5</v>
      </c>
      <c r="N40" s="227" t="s">
        <v>9</v>
      </c>
      <c r="O40" s="133" t="s">
        <v>40</v>
      </c>
      <c r="P40" s="464" t="s">
        <v>143</v>
      </c>
      <c r="Q40" s="59" t="s">
        <v>16</v>
      </c>
      <c r="R40" s="59" t="s">
        <v>41</v>
      </c>
      <c r="S40" s="282" t="s">
        <v>17</v>
      </c>
      <c r="T40" s="285"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6"/>
      <c r="U41" s="56"/>
      <c r="V41" s="56"/>
      <c r="W41" s="1"/>
    </row>
    <row r="42" spans="1:29">
      <c r="A42" s="410"/>
      <c r="B42" s="418"/>
      <c r="C42" s="413"/>
      <c r="D42" s="413"/>
      <c r="E42" s="413"/>
      <c r="F42" s="419"/>
      <c r="G42" s="420"/>
      <c r="H42" s="168">
        <f t="shared" ref="H42:H61" si="1">IF(ISERROR(IF(A42="",I42*(Annual_Salary/12),I42*(VLOOKUP(A42,SalaryLimits,2,FALSE))/12)),0,IF(A42="",I42*(Annual_Salary/12),I42*(VLOOKUP(A42,SalaryLimits,2,FALSE))/12))</f>
        <v>0</v>
      </c>
      <c r="I42" s="348">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171">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5">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11"/>
      <c r="B43" s="418"/>
      <c r="C43" s="413"/>
      <c r="D43" s="413"/>
      <c r="E43" s="413"/>
      <c r="F43" s="419"/>
      <c r="G43" s="421"/>
      <c r="H43" s="168">
        <f t="shared" si="1"/>
        <v>0</v>
      </c>
      <c r="I43" s="348">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5">
        <f t="shared" si="12"/>
        <v>0</v>
      </c>
      <c r="U43" s="220"/>
      <c r="V43" s="220"/>
      <c r="W43" s="1"/>
      <c r="Y43" s="68">
        <f t="shared" si="13"/>
        <v>0</v>
      </c>
      <c r="Z43" s="69">
        <f t="shared" si="14"/>
        <v>0</v>
      </c>
      <c r="AA43" s="70">
        <f t="shared" si="15"/>
        <v>0</v>
      </c>
      <c r="AB43" s="69">
        <f t="shared" si="16"/>
        <v>0</v>
      </c>
    </row>
    <row r="44" spans="1:29">
      <c r="A44" s="410"/>
      <c r="B44" s="418"/>
      <c r="C44" s="413"/>
      <c r="D44" s="413"/>
      <c r="E44" s="413"/>
      <c r="F44" s="419"/>
      <c r="G44" s="421"/>
      <c r="H44" s="168">
        <f t="shared" si="1"/>
        <v>0</v>
      </c>
      <c r="I44" s="348">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5">
        <f t="shared" si="12"/>
        <v>0</v>
      </c>
      <c r="U44" s="220"/>
      <c r="V44" s="220"/>
      <c r="W44" s="1"/>
      <c r="Y44" s="68">
        <f t="shared" si="13"/>
        <v>0</v>
      </c>
      <c r="Z44" s="69">
        <f t="shared" si="14"/>
        <v>0</v>
      </c>
      <c r="AA44" s="70">
        <f t="shared" si="15"/>
        <v>0</v>
      </c>
      <c r="AB44" s="69">
        <f t="shared" si="16"/>
        <v>0</v>
      </c>
    </row>
    <row r="45" spans="1:29">
      <c r="A45" s="410"/>
      <c r="B45" s="418"/>
      <c r="C45" s="413"/>
      <c r="D45" s="413"/>
      <c r="E45" s="413"/>
      <c r="F45" s="419"/>
      <c r="G45" s="421"/>
      <c r="H45" s="168">
        <f t="shared" si="1"/>
        <v>0</v>
      </c>
      <c r="I45" s="348">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5">
        <f t="shared" si="12"/>
        <v>0</v>
      </c>
      <c r="U45" s="220"/>
      <c r="V45" s="220"/>
      <c r="W45" s="1"/>
      <c r="Y45" s="68">
        <f t="shared" si="13"/>
        <v>0</v>
      </c>
      <c r="Z45" s="69">
        <f t="shared" si="14"/>
        <v>0</v>
      </c>
      <c r="AA45" s="70">
        <f t="shared" si="15"/>
        <v>0</v>
      </c>
      <c r="AB45" s="69">
        <f t="shared" si="16"/>
        <v>0</v>
      </c>
    </row>
    <row r="46" spans="1:29">
      <c r="A46" s="410"/>
      <c r="B46" s="418"/>
      <c r="C46" s="413"/>
      <c r="D46" s="413"/>
      <c r="E46" s="413"/>
      <c r="F46" s="419"/>
      <c r="G46" s="421"/>
      <c r="H46" s="168">
        <f t="shared" si="1"/>
        <v>0</v>
      </c>
      <c r="I46" s="348">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5">
        <f t="shared" si="12"/>
        <v>0</v>
      </c>
      <c r="U46" s="220"/>
      <c r="V46" s="220"/>
      <c r="W46" s="1"/>
      <c r="Y46" s="68">
        <f t="shared" si="13"/>
        <v>0</v>
      </c>
      <c r="Z46" s="69">
        <f t="shared" si="14"/>
        <v>0</v>
      </c>
      <c r="AA46" s="70">
        <f t="shared" si="15"/>
        <v>0</v>
      </c>
      <c r="AB46" s="69">
        <f t="shared" si="16"/>
        <v>0</v>
      </c>
    </row>
    <row r="47" spans="1:29">
      <c r="A47" s="410"/>
      <c r="B47" s="418"/>
      <c r="C47" s="413"/>
      <c r="D47" s="413"/>
      <c r="E47" s="413"/>
      <c r="F47" s="419"/>
      <c r="G47" s="421"/>
      <c r="H47" s="168">
        <f t="shared" si="1"/>
        <v>0</v>
      </c>
      <c r="I47" s="348">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5">
        <f t="shared" si="12"/>
        <v>0</v>
      </c>
      <c r="U47" s="220"/>
      <c r="V47" s="220"/>
      <c r="W47" s="1"/>
      <c r="Y47" s="68">
        <f t="shared" si="13"/>
        <v>0</v>
      </c>
      <c r="Z47" s="69">
        <f t="shared" si="14"/>
        <v>0</v>
      </c>
      <c r="AA47" s="70">
        <f t="shared" si="15"/>
        <v>0</v>
      </c>
      <c r="AB47" s="69">
        <f t="shared" si="16"/>
        <v>0</v>
      </c>
    </row>
    <row r="48" spans="1:29">
      <c r="A48" s="410"/>
      <c r="B48" s="418"/>
      <c r="C48" s="413"/>
      <c r="D48" s="413"/>
      <c r="E48" s="413"/>
      <c r="F48" s="419"/>
      <c r="G48" s="421"/>
      <c r="H48" s="168">
        <f t="shared" si="1"/>
        <v>0</v>
      </c>
      <c r="I48" s="348">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5">
        <f t="shared" si="12"/>
        <v>0</v>
      </c>
      <c r="U48" s="220"/>
      <c r="V48" s="220"/>
      <c r="W48" s="1"/>
      <c r="Y48" s="68">
        <f t="shared" si="13"/>
        <v>0</v>
      </c>
      <c r="Z48" s="69">
        <f t="shared" si="14"/>
        <v>0</v>
      </c>
      <c r="AA48" s="70">
        <f t="shared" si="15"/>
        <v>0</v>
      </c>
      <c r="AB48" s="69">
        <f t="shared" si="16"/>
        <v>0</v>
      </c>
    </row>
    <row r="49" spans="1:30">
      <c r="A49" s="410"/>
      <c r="B49" s="418"/>
      <c r="C49" s="422"/>
      <c r="D49" s="422"/>
      <c r="E49" s="413"/>
      <c r="F49" s="419"/>
      <c r="G49" s="421"/>
      <c r="H49" s="168">
        <f t="shared" si="1"/>
        <v>0</v>
      </c>
      <c r="I49" s="348">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5">
        <f t="shared" si="12"/>
        <v>0</v>
      </c>
      <c r="U49" s="220"/>
      <c r="V49" s="220"/>
      <c r="W49" s="1"/>
      <c r="Y49" s="68">
        <f t="shared" si="13"/>
        <v>0</v>
      </c>
      <c r="Z49" s="69">
        <f t="shared" si="14"/>
        <v>0</v>
      </c>
      <c r="AA49" s="70">
        <f t="shared" si="15"/>
        <v>0</v>
      </c>
      <c r="AB49" s="69">
        <f t="shared" si="16"/>
        <v>0</v>
      </c>
    </row>
    <row r="50" spans="1:30">
      <c r="A50" s="410"/>
      <c r="B50" s="418"/>
      <c r="C50" s="422"/>
      <c r="D50" s="422"/>
      <c r="E50" s="413"/>
      <c r="F50" s="419"/>
      <c r="G50" s="421"/>
      <c r="H50" s="168">
        <f t="shared" si="1"/>
        <v>0</v>
      </c>
      <c r="I50" s="348">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5">
        <f t="shared" si="12"/>
        <v>0</v>
      </c>
      <c r="U50" s="220"/>
      <c r="V50" s="220"/>
      <c r="W50" s="1"/>
      <c r="Y50" s="68">
        <f t="shared" si="13"/>
        <v>0</v>
      </c>
      <c r="Z50" s="69">
        <f t="shared" si="14"/>
        <v>0</v>
      </c>
      <c r="AA50" s="70">
        <f t="shared" si="15"/>
        <v>0</v>
      </c>
      <c r="AB50" s="69">
        <f t="shared" si="16"/>
        <v>0</v>
      </c>
    </row>
    <row r="51" spans="1:30">
      <c r="A51" s="410"/>
      <c r="B51" s="418"/>
      <c r="C51" s="422"/>
      <c r="D51" s="422"/>
      <c r="E51" s="413"/>
      <c r="F51" s="419"/>
      <c r="G51" s="421"/>
      <c r="H51" s="168">
        <f t="shared" si="1"/>
        <v>0</v>
      </c>
      <c r="I51" s="348">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5">
        <f t="shared" si="12"/>
        <v>0</v>
      </c>
      <c r="U51" s="220"/>
      <c r="V51" s="220"/>
      <c r="W51" s="1"/>
      <c r="Y51" s="68">
        <f t="shared" si="13"/>
        <v>0</v>
      </c>
      <c r="Z51" s="69">
        <f t="shared" si="14"/>
        <v>0</v>
      </c>
      <c r="AA51" s="70">
        <f t="shared" si="15"/>
        <v>0</v>
      </c>
      <c r="AB51" s="69">
        <f t="shared" si="16"/>
        <v>0</v>
      </c>
    </row>
    <row r="52" spans="1:30">
      <c r="A52" s="410"/>
      <c r="B52" s="418"/>
      <c r="C52" s="422"/>
      <c r="D52" s="422"/>
      <c r="E52" s="413"/>
      <c r="F52" s="419"/>
      <c r="G52" s="421"/>
      <c r="H52" s="168">
        <f t="shared" si="1"/>
        <v>0</v>
      </c>
      <c r="I52" s="348">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5">
        <f t="shared" si="12"/>
        <v>0</v>
      </c>
      <c r="U52" s="220"/>
      <c r="V52" s="220"/>
      <c r="W52" s="1"/>
      <c r="Y52" s="68">
        <f t="shared" si="13"/>
        <v>0</v>
      </c>
      <c r="Z52" s="69">
        <f t="shared" si="14"/>
        <v>0</v>
      </c>
      <c r="AA52" s="70">
        <f t="shared" si="15"/>
        <v>0</v>
      </c>
      <c r="AB52" s="69">
        <f t="shared" si="16"/>
        <v>0</v>
      </c>
    </row>
    <row r="53" spans="1:30">
      <c r="A53" s="410"/>
      <c r="B53" s="418"/>
      <c r="C53" s="422"/>
      <c r="D53" s="422"/>
      <c r="E53" s="413"/>
      <c r="F53" s="419"/>
      <c r="G53" s="421"/>
      <c r="H53" s="168">
        <f t="shared" si="1"/>
        <v>0</v>
      </c>
      <c r="I53" s="348">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5">
        <f t="shared" si="12"/>
        <v>0</v>
      </c>
      <c r="U53" s="220"/>
      <c r="V53" s="220"/>
      <c r="W53" s="1"/>
      <c r="Y53" s="68">
        <f t="shared" si="13"/>
        <v>0</v>
      </c>
      <c r="Z53" s="69">
        <f t="shared" si="14"/>
        <v>0</v>
      </c>
      <c r="AA53" s="70">
        <f t="shared" si="15"/>
        <v>0</v>
      </c>
      <c r="AB53" s="69">
        <f t="shared" si="16"/>
        <v>0</v>
      </c>
    </row>
    <row r="54" spans="1:30">
      <c r="A54" s="410"/>
      <c r="B54" s="418"/>
      <c r="C54" s="422"/>
      <c r="D54" s="422"/>
      <c r="E54" s="413"/>
      <c r="F54" s="419"/>
      <c r="G54" s="421"/>
      <c r="H54" s="168">
        <f t="shared" si="1"/>
        <v>0</v>
      </c>
      <c r="I54" s="348">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5">
        <f t="shared" si="12"/>
        <v>0</v>
      </c>
      <c r="U54" s="220"/>
      <c r="V54" s="220"/>
      <c r="W54" s="1"/>
      <c r="Y54" s="68">
        <f t="shared" si="13"/>
        <v>0</v>
      </c>
      <c r="Z54" s="69">
        <f t="shared" si="14"/>
        <v>0</v>
      </c>
      <c r="AA54" s="70">
        <f t="shared" si="15"/>
        <v>0</v>
      </c>
      <c r="AB54" s="69">
        <f t="shared" si="16"/>
        <v>0</v>
      </c>
    </row>
    <row r="55" spans="1:30">
      <c r="A55" s="410"/>
      <c r="B55" s="418"/>
      <c r="C55" s="422"/>
      <c r="D55" s="422"/>
      <c r="E55" s="413"/>
      <c r="F55" s="419"/>
      <c r="G55" s="421"/>
      <c r="H55" s="168">
        <f t="shared" si="1"/>
        <v>0</v>
      </c>
      <c r="I55" s="348">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5">
        <f t="shared" si="12"/>
        <v>0</v>
      </c>
      <c r="U55" s="220"/>
      <c r="V55" s="220"/>
      <c r="W55" s="1"/>
      <c r="Y55" s="68">
        <f t="shared" si="13"/>
        <v>0</v>
      </c>
      <c r="Z55" s="69">
        <f t="shared" si="14"/>
        <v>0</v>
      </c>
      <c r="AA55" s="70">
        <f t="shared" si="15"/>
        <v>0</v>
      </c>
      <c r="AB55" s="69">
        <f t="shared" si="16"/>
        <v>0</v>
      </c>
    </row>
    <row r="56" spans="1:30">
      <c r="A56" s="410"/>
      <c r="B56" s="418"/>
      <c r="C56" s="422"/>
      <c r="D56" s="422"/>
      <c r="E56" s="413"/>
      <c r="F56" s="419"/>
      <c r="G56" s="421"/>
      <c r="H56" s="168">
        <f t="shared" si="1"/>
        <v>0</v>
      </c>
      <c r="I56" s="348">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5">
        <f t="shared" si="12"/>
        <v>0</v>
      </c>
      <c r="U56" s="220"/>
      <c r="V56" s="220"/>
      <c r="W56" s="1"/>
      <c r="Y56" s="68">
        <f t="shared" si="13"/>
        <v>0</v>
      </c>
      <c r="Z56" s="69">
        <f t="shared" si="14"/>
        <v>0</v>
      </c>
      <c r="AA56" s="70">
        <f t="shared" si="15"/>
        <v>0</v>
      </c>
      <c r="AB56" s="69">
        <f t="shared" si="16"/>
        <v>0</v>
      </c>
    </row>
    <row r="57" spans="1:30">
      <c r="A57" s="410"/>
      <c r="B57" s="418"/>
      <c r="C57" s="422"/>
      <c r="D57" s="422"/>
      <c r="E57" s="413"/>
      <c r="F57" s="419"/>
      <c r="G57" s="421"/>
      <c r="H57" s="168">
        <f t="shared" si="1"/>
        <v>0</v>
      </c>
      <c r="I57" s="348">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5">
        <f t="shared" si="12"/>
        <v>0</v>
      </c>
      <c r="U57" s="220"/>
      <c r="V57" s="220"/>
      <c r="W57" s="1"/>
      <c r="Y57" s="68">
        <f t="shared" si="13"/>
        <v>0</v>
      </c>
      <c r="Z57" s="69">
        <f t="shared" si="14"/>
        <v>0</v>
      </c>
      <c r="AA57" s="70">
        <f t="shared" si="15"/>
        <v>0</v>
      </c>
      <c r="AB57" s="69">
        <f t="shared" si="16"/>
        <v>0</v>
      </c>
    </row>
    <row r="58" spans="1:30">
      <c r="A58" s="410"/>
      <c r="B58" s="418"/>
      <c r="C58" s="422"/>
      <c r="D58" s="422"/>
      <c r="E58" s="413"/>
      <c r="F58" s="419"/>
      <c r="G58" s="421"/>
      <c r="H58" s="168">
        <f t="shared" si="1"/>
        <v>0</v>
      </c>
      <c r="I58" s="348">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5">
        <f t="shared" si="12"/>
        <v>0</v>
      </c>
      <c r="U58" s="220"/>
      <c r="V58" s="220"/>
      <c r="W58" s="1"/>
      <c r="Y58" s="68">
        <f t="shared" si="13"/>
        <v>0</v>
      </c>
      <c r="Z58" s="69">
        <f t="shared" si="14"/>
        <v>0</v>
      </c>
      <c r="AA58" s="70">
        <f t="shared" si="15"/>
        <v>0</v>
      </c>
      <c r="AB58" s="69">
        <f t="shared" si="16"/>
        <v>0</v>
      </c>
    </row>
    <row r="59" spans="1:30">
      <c r="A59" s="410"/>
      <c r="B59" s="418"/>
      <c r="C59" s="422"/>
      <c r="D59" s="422"/>
      <c r="E59" s="413"/>
      <c r="F59" s="419"/>
      <c r="G59" s="421"/>
      <c r="H59" s="168">
        <f t="shared" si="1"/>
        <v>0</v>
      </c>
      <c r="I59" s="348">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5">
        <f t="shared" si="12"/>
        <v>0</v>
      </c>
      <c r="U59" s="220"/>
      <c r="V59" s="220"/>
      <c r="W59" s="1"/>
      <c r="Y59" s="68">
        <f t="shared" si="13"/>
        <v>0</v>
      </c>
      <c r="Z59" s="69">
        <f t="shared" si="14"/>
        <v>0</v>
      </c>
      <c r="AA59" s="70">
        <f t="shared" si="15"/>
        <v>0</v>
      </c>
      <c r="AB59" s="69">
        <f t="shared" si="16"/>
        <v>0</v>
      </c>
      <c r="AD59" s="158"/>
    </row>
    <row r="60" spans="1:30">
      <c r="A60" s="410"/>
      <c r="B60" s="418"/>
      <c r="C60" s="422"/>
      <c r="D60" s="422"/>
      <c r="E60" s="413"/>
      <c r="F60" s="419"/>
      <c r="G60" s="421"/>
      <c r="H60" s="168">
        <f t="shared" si="1"/>
        <v>0</v>
      </c>
      <c r="I60" s="348">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5">
        <f t="shared" si="12"/>
        <v>0</v>
      </c>
      <c r="U60" s="220"/>
      <c r="V60" s="220"/>
      <c r="W60" s="1"/>
      <c r="Y60" s="68">
        <f t="shared" si="13"/>
        <v>0</v>
      </c>
      <c r="Z60" s="69">
        <f t="shared" si="14"/>
        <v>0</v>
      </c>
      <c r="AA60" s="70">
        <f t="shared" si="15"/>
        <v>0</v>
      </c>
      <c r="AB60" s="69">
        <f t="shared" si="16"/>
        <v>0</v>
      </c>
      <c r="AD60" s="158"/>
    </row>
    <row r="61" spans="1:30" ht="13" thickBot="1">
      <c r="A61" s="410"/>
      <c r="B61" s="418"/>
      <c r="C61" s="422"/>
      <c r="D61" s="422"/>
      <c r="E61" s="413"/>
      <c r="F61" s="419"/>
      <c r="G61" s="421"/>
      <c r="H61" s="168">
        <f t="shared" si="1"/>
        <v>0</v>
      </c>
      <c r="I61" s="348">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5">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6"/>
      <c r="G62" s="157"/>
      <c r="H62" s="347">
        <f t="shared" ref="H62:N62" si="17">SUM(H42:H61)</f>
        <v>0</v>
      </c>
      <c r="I62" s="349">
        <f t="shared" si="17"/>
        <v>0</v>
      </c>
      <c r="J62" s="350">
        <f t="shared" si="17"/>
        <v>0</v>
      </c>
      <c r="K62" s="351">
        <f t="shared" si="17"/>
        <v>0</v>
      </c>
      <c r="L62" s="351">
        <f t="shared" si="17"/>
        <v>0</v>
      </c>
      <c r="M62" s="349">
        <f t="shared" si="17"/>
        <v>0</v>
      </c>
      <c r="N62" s="352">
        <f t="shared" si="17"/>
        <v>0</v>
      </c>
      <c r="O62" s="134"/>
      <c r="P62" s="139">
        <f>ROUND(SUM(P42:P61),2)</f>
        <v>0</v>
      </c>
      <c r="Q62" s="140">
        <f>ROUND(SUM(Q42:Q61),2)</f>
        <v>0</v>
      </c>
      <c r="R62" s="140">
        <f>ROUND(SUM(R42:R61),2)</f>
        <v>0</v>
      </c>
      <c r="S62" s="283">
        <f>ROUND(SUM(S42:S61),2)</f>
        <v>0</v>
      </c>
      <c r="T62" s="284">
        <f>SUM(T42:T61)</f>
        <v>0</v>
      </c>
      <c r="U62" s="221"/>
      <c r="V62" s="221"/>
      <c r="Y62" s="69">
        <f>SUM(Y42:Y61)</f>
        <v>0</v>
      </c>
      <c r="Z62" s="69">
        <f>SUM(Z42:Z61)</f>
        <v>0</v>
      </c>
      <c r="AA62" s="69">
        <f>SUM(AA42:AA61)</f>
        <v>0</v>
      </c>
      <c r="AB62" s="69">
        <f>SUM(AB42:AB61)</f>
        <v>0</v>
      </c>
      <c r="AD62" s="158"/>
    </row>
    <row r="63" spans="1:30">
      <c r="A63" s="264" t="s">
        <v>81</v>
      </c>
      <c r="B63" s="334"/>
      <c r="C63" s="334"/>
      <c r="D63" s="334"/>
      <c r="E63" s="334"/>
      <c r="F63" s="334"/>
      <c r="G63" s="334"/>
      <c r="H63" s="334"/>
      <c r="I63" s="334"/>
      <c r="J63" s="334"/>
      <c r="K63" s="334"/>
      <c r="L63" s="334"/>
      <c r="M63" s="334"/>
      <c r="N63" s="334"/>
      <c r="O63" s="334"/>
      <c r="P63" s="221"/>
      <c r="Q63" s="221"/>
      <c r="R63" s="221"/>
      <c r="S63" s="221"/>
      <c r="T63" s="221"/>
      <c r="U63" s="221"/>
      <c r="V63" s="221"/>
      <c r="Y63" s="223"/>
      <c r="Z63" s="223"/>
      <c r="AA63" s="223"/>
      <c r="AB63" s="223"/>
      <c r="AD63" s="158"/>
    </row>
    <row r="64" spans="1:30">
      <c r="A64" s="53" t="s">
        <v>73</v>
      </c>
      <c r="B64" s="335"/>
      <c r="C64" s="336"/>
      <c r="D64" s="336"/>
      <c r="E64" s="337"/>
      <c r="F64" s="337"/>
      <c r="G64" s="337"/>
      <c r="H64" s="338"/>
      <c r="I64" s="339"/>
      <c r="J64" s="339"/>
      <c r="K64" s="339"/>
      <c r="L64" s="339"/>
      <c r="M64" s="339"/>
      <c r="N64" s="339"/>
      <c r="O64" s="134"/>
      <c r="P64" s="241"/>
      <c r="Q64" s="221"/>
      <c r="R64" s="332"/>
      <c r="S64" s="332"/>
      <c r="T64" s="221"/>
      <c r="U64" s="221"/>
      <c r="V64" s="221"/>
      <c r="Y64" s="223"/>
      <c r="Z64" s="223"/>
      <c r="AA64" s="223"/>
      <c r="AB64" s="223"/>
      <c r="AD64" s="158"/>
    </row>
    <row r="65" spans="1:34">
      <c r="A65" s="643"/>
      <c r="B65" s="644"/>
      <c r="C65" s="644"/>
      <c r="D65" s="644"/>
      <c r="E65" s="644"/>
      <c r="F65" s="644"/>
      <c r="G65" s="644"/>
      <c r="H65" s="644"/>
      <c r="I65" s="644"/>
      <c r="J65" s="644"/>
      <c r="K65" s="644"/>
      <c r="L65" s="644"/>
      <c r="M65" s="644"/>
      <c r="N65" s="645"/>
      <c r="O65" s="134"/>
      <c r="P65" s="241" t="s">
        <v>105</v>
      </c>
      <c r="Q65" s="287"/>
      <c r="R65" s="621"/>
      <c r="S65" s="622"/>
      <c r="T65" s="623"/>
      <c r="U65" s="221"/>
      <c r="V65" s="221"/>
      <c r="Y65" s="223"/>
      <c r="Z65" s="223"/>
      <c r="AA65" s="223"/>
      <c r="AB65" s="223"/>
      <c r="AD65" s="158"/>
    </row>
    <row r="66" spans="1:34">
      <c r="A66" s="646"/>
      <c r="B66" s="665"/>
      <c r="C66" s="665"/>
      <c r="D66" s="665"/>
      <c r="E66" s="665"/>
      <c r="F66" s="665"/>
      <c r="G66" s="665"/>
      <c r="H66" s="665"/>
      <c r="I66" s="665"/>
      <c r="J66" s="665"/>
      <c r="K66" s="665"/>
      <c r="L66" s="665"/>
      <c r="M66" s="665"/>
      <c r="N66" s="648"/>
      <c r="O66" s="134"/>
      <c r="P66" s="331"/>
      <c r="Q66" s="287"/>
      <c r="R66" s="624"/>
      <c r="S66" s="625"/>
      <c r="T66" s="626"/>
      <c r="U66" s="221"/>
      <c r="V66" s="221"/>
      <c r="Y66" s="223"/>
      <c r="Z66" s="223"/>
      <c r="AA66" s="223"/>
      <c r="AB66" s="223"/>
      <c r="AD66" s="158"/>
    </row>
    <row r="67" spans="1:34">
      <c r="A67" s="649"/>
      <c r="B67" s="650"/>
      <c r="C67" s="650"/>
      <c r="D67" s="650"/>
      <c r="E67" s="650"/>
      <c r="F67" s="650"/>
      <c r="G67" s="650"/>
      <c r="H67" s="650"/>
      <c r="I67" s="650"/>
      <c r="J67" s="650"/>
      <c r="K67" s="650"/>
      <c r="L67" s="650"/>
      <c r="M67" s="650"/>
      <c r="N67" s="651"/>
      <c r="O67" s="134"/>
      <c r="P67" s="331" t="s">
        <v>104</v>
      </c>
      <c r="Q67" s="287"/>
      <c r="R67" s="627"/>
      <c r="S67" s="628"/>
      <c r="T67" s="629"/>
      <c r="U67" s="221"/>
      <c r="V67" s="221"/>
      <c r="Y67" s="223"/>
      <c r="Z67" s="223"/>
      <c r="AA67" s="223"/>
      <c r="AB67" s="223"/>
      <c r="AD67" s="158"/>
    </row>
    <row r="68" spans="1:34">
      <c r="A68" s="31"/>
      <c r="B68" s="53"/>
      <c r="C68" s="53"/>
      <c r="D68" s="53"/>
      <c r="E68" s="53"/>
      <c r="F68" s="53"/>
      <c r="G68" s="53"/>
      <c r="H68" s="222"/>
      <c r="I68" s="134"/>
      <c r="J68" s="134"/>
      <c r="K68" s="134"/>
      <c r="L68" s="134"/>
      <c r="M68" s="134"/>
      <c r="N68" s="134"/>
      <c r="O68" s="134"/>
      <c r="P68" s="221"/>
      <c r="Q68" s="221"/>
      <c r="R68" s="531" t="s">
        <v>195</v>
      </c>
      <c r="S68" s="221"/>
      <c r="T68" s="221"/>
      <c r="U68" s="221"/>
      <c r="V68" s="221"/>
      <c r="Y68" s="223"/>
      <c r="Z68" s="223"/>
      <c r="AA68" s="223"/>
      <c r="AB68" s="223"/>
    </row>
    <row r="69" spans="1:34" hidden="1">
      <c r="A69" s="31"/>
      <c r="B69" s="53"/>
      <c r="C69" s="53"/>
      <c r="D69" s="53"/>
      <c r="E69" s="53"/>
      <c r="F69" s="53"/>
      <c r="G69" s="53"/>
      <c r="H69" s="222"/>
      <c r="I69" s="134"/>
      <c r="J69" s="134"/>
      <c r="K69" s="134"/>
      <c r="L69" s="134"/>
      <c r="M69" s="134"/>
      <c r="N69" s="134"/>
      <c r="O69" s="134"/>
      <c r="P69" s="221"/>
      <c r="Q69" s="221"/>
      <c r="R69" s="221"/>
      <c r="S69" s="221"/>
      <c r="T69" s="221"/>
      <c r="U69" s="221"/>
      <c r="V69" s="221"/>
      <c r="Y69" s="223"/>
      <c r="Z69" s="223"/>
      <c r="AA69" s="223"/>
      <c r="AB69" s="223"/>
    </row>
    <row r="70" spans="1:34" hidden="1">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4" hidden="1">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4" hidden="1">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4" hidden="1">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4" hidden="1">
      <c r="A74" s="31"/>
      <c r="B74" s="53"/>
      <c r="C74" s="53"/>
      <c r="D74" s="53"/>
      <c r="E74" s="53"/>
      <c r="F74" s="53"/>
      <c r="G74" s="53"/>
      <c r="H74" s="222"/>
      <c r="I74" s="134"/>
      <c r="J74" s="134"/>
      <c r="K74" s="134"/>
      <c r="L74" s="134"/>
      <c r="M74" s="134"/>
      <c r="N74" s="134"/>
      <c r="O74" s="134"/>
      <c r="P74" s="221"/>
      <c r="Q74" s="221"/>
      <c r="R74" s="221"/>
      <c r="S74" s="221"/>
      <c r="T74" s="221"/>
      <c r="U74" s="221"/>
      <c r="V74" s="221"/>
      <c r="Y74" s="223"/>
      <c r="Z74" s="223"/>
      <c r="AA74" s="223"/>
      <c r="AB74" s="223"/>
    </row>
    <row r="75" spans="1:34" hidden="1">
      <c r="A75" s="31"/>
      <c r="B75" s="53"/>
      <c r="C75" s="53"/>
      <c r="D75" s="53"/>
      <c r="E75" s="53"/>
      <c r="F75" s="53"/>
      <c r="G75" s="53"/>
      <c r="H75" s="222"/>
      <c r="I75" s="134"/>
      <c r="J75" s="134"/>
      <c r="K75" s="134"/>
      <c r="L75" s="134"/>
      <c r="M75" s="134"/>
      <c r="N75" s="134"/>
      <c r="O75" s="134"/>
      <c r="P75" s="221"/>
      <c r="Q75" s="221"/>
      <c r="R75" s="221"/>
      <c r="S75" s="221"/>
      <c r="T75" s="221"/>
      <c r="U75" s="221"/>
      <c r="V75" s="221"/>
      <c r="Y75" s="223"/>
      <c r="Z75" s="223"/>
      <c r="AA75" s="223"/>
      <c r="AB75" s="223"/>
    </row>
    <row r="76" spans="1:34" hidden="1">
      <c r="A76" s="31"/>
      <c r="B76" s="53"/>
      <c r="C76" s="53"/>
      <c r="D76" s="53"/>
      <c r="E76" s="53"/>
      <c r="F76" s="53"/>
      <c r="G76" s="53"/>
      <c r="H76" s="222"/>
      <c r="I76" s="134"/>
      <c r="J76" s="134"/>
      <c r="K76" s="134"/>
      <c r="L76" s="134"/>
      <c r="M76" s="134"/>
      <c r="N76" s="134"/>
      <c r="O76" s="134"/>
      <c r="P76" s="221"/>
      <c r="Q76" s="221"/>
      <c r="R76" s="221"/>
      <c r="S76" s="221"/>
      <c r="T76" s="221"/>
      <c r="U76" s="221"/>
      <c r="V76" s="221"/>
      <c r="Y76" s="223"/>
      <c r="Z76" s="223"/>
      <c r="AA76" s="223"/>
      <c r="AB76" s="223"/>
    </row>
    <row r="77" spans="1:34" hidden="1">
      <c r="G77" s="158"/>
      <c r="X77" s="82"/>
      <c r="Y77" s="82"/>
      <c r="Z77" s="82"/>
      <c r="AA77" s="82"/>
      <c r="AB77" s="82"/>
      <c r="AG77">
        <v>0.27</v>
      </c>
      <c r="AH77" t="s">
        <v>31</v>
      </c>
    </row>
    <row r="78" spans="1:34"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8">SUM(J78:M78)</f>
        <v>0</v>
      </c>
      <c r="O78" s="134"/>
      <c r="P78" s="143"/>
      <c r="Q78" s="134"/>
      <c r="R78" s="218"/>
      <c r="S78" s="134"/>
      <c r="T78" s="134"/>
      <c r="U78" s="134"/>
      <c r="V78" s="134"/>
      <c r="X78" s="95"/>
      <c r="Y78" s="35"/>
      <c r="Z78" s="35"/>
      <c r="AA78" s="35"/>
      <c r="AB78" s="79"/>
      <c r="AG78" s="71">
        <f>SUM(AG45:AG77)</f>
        <v>0.27</v>
      </c>
    </row>
    <row r="79" spans="1:34"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4"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6"/>
      <c r="Y87" s="357"/>
      <c r="Z87" s="31"/>
      <c r="AA87" s="358"/>
      <c r="AB87" s="359"/>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6"/>
      <c r="Y88" s="357"/>
      <c r="Z88" s="31"/>
      <c r="AA88" s="358"/>
      <c r="AB88" s="359"/>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6"/>
      <c r="Y89" s="357"/>
      <c r="Z89" s="31"/>
      <c r="AA89" s="358"/>
      <c r="AB89" s="359"/>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6"/>
      <c r="Y90" s="357"/>
      <c r="Z90" s="31"/>
      <c r="AA90" s="358"/>
      <c r="AB90" s="359"/>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6"/>
      <c r="Y91" s="357"/>
      <c r="Z91" s="31"/>
      <c r="AA91" s="358"/>
      <c r="AB91" s="359"/>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6"/>
      <c r="Y92" s="357"/>
      <c r="Z92" s="31"/>
      <c r="AA92" s="358"/>
      <c r="AB92" s="359"/>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6"/>
      <c r="Y93" s="357"/>
      <c r="Z93" s="31"/>
      <c r="AA93" s="358"/>
      <c r="AB93" s="359"/>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6"/>
      <c r="Y94" s="357"/>
      <c r="Z94" s="31"/>
      <c r="AA94" s="358"/>
      <c r="AB94" s="359"/>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6"/>
      <c r="Y95" s="357"/>
      <c r="Z95" s="31"/>
      <c r="AA95" s="358"/>
      <c r="AB95" s="359"/>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6"/>
      <c r="Y96" s="357"/>
      <c r="Z96" s="31"/>
      <c r="AA96" s="358"/>
      <c r="AB96" s="359"/>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6"/>
      <c r="Y97" s="357"/>
      <c r="Z97" s="31"/>
      <c r="AA97" s="358"/>
      <c r="AB97" s="359"/>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row r="99" spans="2:28" hidden="1"/>
    <row r="100" spans="2:28" hidden="1"/>
    <row r="101" spans="2:28" hidden="1"/>
  </sheetData>
  <sheetProtection password="C7E2" sheet="1" objects="1" scenarios="1"/>
  <mergeCells count="50">
    <mergeCell ref="AF23:AN23"/>
    <mergeCell ref="AN15:AN17"/>
    <mergeCell ref="AF18:AG21"/>
    <mergeCell ref="AH18:AJ21"/>
    <mergeCell ref="AK18:AK21"/>
    <mergeCell ref="AL18:AL21"/>
    <mergeCell ref="AM18:AM21"/>
    <mergeCell ref="AN18:AN21"/>
    <mergeCell ref="AF24:AN24"/>
    <mergeCell ref="AF25:AN25"/>
    <mergeCell ref="AF1:AN1"/>
    <mergeCell ref="AF2:AG3"/>
    <mergeCell ref="AH2:AJ3"/>
    <mergeCell ref="AK2:AK3"/>
    <mergeCell ref="AL2:AL3"/>
    <mergeCell ref="AM2:AM3"/>
    <mergeCell ref="AN2:AN3"/>
    <mergeCell ref="AF4:AG8"/>
    <mergeCell ref="AH4:AJ8"/>
    <mergeCell ref="AK4:AK8"/>
    <mergeCell ref="AL4:AL8"/>
    <mergeCell ref="AM4:AM8"/>
    <mergeCell ref="AF12:AG14"/>
    <mergeCell ref="AH12:AJ14"/>
    <mergeCell ref="AK12:AK14"/>
    <mergeCell ref="AL12:AL14"/>
    <mergeCell ref="AM12:AM14"/>
    <mergeCell ref="AN12:AN14"/>
    <mergeCell ref="AF15:AG17"/>
    <mergeCell ref="AH15:AJ17"/>
    <mergeCell ref="AK15:AK17"/>
    <mergeCell ref="AL15:AL17"/>
    <mergeCell ref="AM15:AM17"/>
    <mergeCell ref="AN4:AN8"/>
    <mergeCell ref="AF9:AG11"/>
    <mergeCell ref="AH9:AJ11"/>
    <mergeCell ref="AK9:AK11"/>
    <mergeCell ref="AL9:AL11"/>
    <mergeCell ref="AM9:AM11"/>
    <mergeCell ref="AN9:AN11"/>
    <mergeCell ref="Z21:AB21"/>
    <mergeCell ref="X21:Y21"/>
    <mergeCell ref="D11:G12"/>
    <mergeCell ref="D9:G10"/>
    <mergeCell ref="D7:E8"/>
    <mergeCell ref="D2:L2"/>
    <mergeCell ref="A65:N67"/>
    <mergeCell ref="D20:F21"/>
    <mergeCell ref="R65:T65"/>
    <mergeCell ref="R66:T67"/>
  </mergeCells>
  <phoneticPr fontId="0" type="noConversion"/>
  <conditionalFormatting sqref="N21">
    <cfRule type="cellIs" dxfId="1"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6"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N98"/>
  <sheetViews>
    <sheetView showGridLines="0" showZeros="0" tabSelected="1" zoomScale="125" zoomScaleNormal="125" zoomScalePageLayoutView="125" workbookViewId="0">
      <selection activeCell="B2" sqref="B2"/>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2.83203125" customWidth="1"/>
    <col min="9" max="9" width="12.5" bestFit="1" customWidth="1"/>
    <col min="10" max="10" width="11.1640625" customWidth="1"/>
    <col min="11" max="11" width="10.5" customWidth="1"/>
    <col min="12" max="12" width="12.83203125" bestFit="1" customWidth="1"/>
    <col min="13" max="13" width="10.5" customWidth="1"/>
    <col min="14" max="14" width="13.1640625" customWidth="1"/>
    <col min="15" max="15" width="0.83203125" customWidth="1"/>
    <col min="16" max="16" width="11.1640625" customWidth="1"/>
    <col min="17" max="17" width="8" customWidth="1"/>
    <col min="19" max="19" width="8.83203125" customWidth="1"/>
    <col min="20"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7.5" customWidth="1"/>
    <col min="38" max="38" width="21.1640625" customWidth="1"/>
    <col min="39" max="39" width="27" customWidth="1"/>
    <col min="40" max="40" width="24.83203125" customWidth="1"/>
  </cols>
  <sheetData>
    <row r="1" spans="1:40" ht="51" customHeight="1" thickBot="1">
      <c r="A1" s="242"/>
      <c r="B1" s="504" t="s">
        <v>153</v>
      </c>
      <c r="C1" s="243"/>
      <c r="D1" s="243"/>
      <c r="E1" s="243"/>
      <c r="F1" s="243"/>
      <c r="G1" s="243"/>
      <c r="H1" s="243"/>
      <c r="I1" s="243"/>
      <c r="J1" s="243"/>
      <c r="K1" s="243"/>
      <c r="L1" s="243"/>
      <c r="M1" s="243"/>
      <c r="N1" s="243"/>
      <c r="O1" s="55"/>
      <c r="P1" s="244"/>
      <c r="Q1" s="55"/>
      <c r="R1" s="55"/>
      <c r="S1" s="55"/>
      <c r="T1" s="55"/>
      <c r="U1" s="55"/>
      <c r="V1" s="55"/>
      <c r="AF1" s="618" t="s">
        <v>155</v>
      </c>
      <c r="AG1" s="618"/>
      <c r="AH1" s="618"/>
      <c r="AI1" s="618"/>
      <c r="AJ1" s="618"/>
      <c r="AK1" s="618"/>
      <c r="AL1" s="618"/>
      <c r="AM1" s="618"/>
      <c r="AN1" s="618"/>
    </row>
    <row r="2" spans="1:40" ht="26.25" customHeight="1" thickBot="1">
      <c r="D2" s="620" t="s">
        <v>193</v>
      </c>
      <c r="E2" s="620"/>
      <c r="F2" s="620"/>
      <c r="G2" s="620"/>
      <c r="H2" s="620"/>
      <c r="I2" s="620"/>
      <c r="J2" s="620"/>
      <c r="K2" s="620"/>
      <c r="L2" s="620"/>
      <c r="AF2" s="611" t="s">
        <v>156</v>
      </c>
      <c r="AG2" s="612"/>
      <c r="AH2" s="612" t="s">
        <v>157</v>
      </c>
      <c r="AI2" s="612"/>
      <c r="AJ2" s="612"/>
      <c r="AK2" s="612" t="s">
        <v>158</v>
      </c>
      <c r="AL2" s="612" t="s">
        <v>159</v>
      </c>
      <c r="AM2" s="612" t="s">
        <v>184</v>
      </c>
      <c r="AN2" s="658" t="s">
        <v>161</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613"/>
      <c r="AG3" s="614"/>
      <c r="AH3" s="614"/>
      <c r="AI3" s="614"/>
      <c r="AJ3" s="614"/>
      <c r="AK3" s="614"/>
      <c r="AL3" s="614"/>
      <c r="AM3" s="614"/>
      <c r="AN3" s="659"/>
    </row>
    <row r="4" spans="1:40">
      <c r="A4" s="64"/>
      <c r="B4" s="212" t="s">
        <v>125</v>
      </c>
      <c r="C4" s="73"/>
      <c r="D4" s="73"/>
      <c r="E4" s="35"/>
      <c r="F4" s="35"/>
      <c r="G4" s="35"/>
      <c r="H4" s="35"/>
      <c r="I4" s="35"/>
      <c r="J4" s="35"/>
      <c r="K4" s="35"/>
      <c r="M4" s="265"/>
      <c r="N4" s="378" t="s">
        <v>119</v>
      </c>
      <c r="O4" s="374"/>
      <c r="P4" s="376" t="s">
        <v>118</v>
      </c>
      <c r="Q4" s="35"/>
      <c r="R4" s="35"/>
      <c r="S4" s="35"/>
      <c r="T4" s="35"/>
      <c r="U4" s="35"/>
      <c r="V4" s="35"/>
      <c r="AF4" s="615" t="s">
        <v>162</v>
      </c>
      <c r="AG4" s="616"/>
      <c r="AH4" s="660" t="s">
        <v>163</v>
      </c>
      <c r="AI4" s="661"/>
      <c r="AJ4" s="616"/>
      <c r="AK4" s="662" t="s">
        <v>185</v>
      </c>
      <c r="AL4" s="663" t="s">
        <v>164</v>
      </c>
      <c r="AM4" s="663" t="s">
        <v>165</v>
      </c>
      <c r="AN4" s="664" t="s">
        <v>166</v>
      </c>
    </row>
    <row r="5" spans="1:40" hidden="1">
      <c r="A5" s="64"/>
      <c r="B5" s="212"/>
      <c r="H5" s="35"/>
      <c r="I5" s="35"/>
      <c r="J5" s="35"/>
      <c r="K5" s="35"/>
      <c r="L5" s="136"/>
      <c r="M5" s="379"/>
      <c r="N5" s="88"/>
      <c r="O5" s="35"/>
      <c r="P5" s="377"/>
      <c r="Q5" s="35"/>
      <c r="R5" s="35"/>
      <c r="S5" s="35"/>
      <c r="T5" s="35"/>
      <c r="U5" s="35"/>
      <c r="V5" s="35"/>
      <c r="AF5" s="589"/>
      <c r="AG5" s="590"/>
      <c r="AH5" s="597"/>
      <c r="AI5" s="598"/>
      <c r="AJ5" s="590"/>
      <c r="AK5" s="584"/>
      <c r="AL5" s="584"/>
      <c r="AM5" s="584"/>
      <c r="AN5" s="606"/>
    </row>
    <row r="6" spans="1:40" hidden="1">
      <c r="A6" s="64"/>
      <c r="B6" s="31"/>
      <c r="G6" s="159"/>
      <c r="H6" s="159"/>
      <c r="I6" s="53"/>
      <c r="L6" s="404"/>
      <c r="M6" s="379"/>
      <c r="N6" s="88"/>
      <c r="O6" s="35"/>
      <c r="P6" s="405"/>
      <c r="Q6" s="49"/>
      <c r="R6" s="49"/>
      <c r="S6" s="49"/>
      <c r="T6" s="49"/>
      <c r="U6" s="49"/>
      <c r="V6" s="49"/>
      <c r="AF6" s="589"/>
      <c r="AG6" s="590"/>
      <c r="AH6" s="597"/>
      <c r="AI6" s="598"/>
      <c r="AJ6" s="590"/>
      <c r="AK6" s="584"/>
      <c r="AL6" s="584"/>
      <c r="AM6" s="584"/>
      <c r="AN6" s="606"/>
    </row>
    <row r="7" spans="1:40" ht="12.75" customHeight="1">
      <c r="A7" s="64"/>
      <c r="B7" s="31"/>
      <c r="C7" s="340" t="s">
        <v>113</v>
      </c>
      <c r="D7" s="688" t="s">
        <v>209</v>
      </c>
      <c r="E7" s="689"/>
      <c r="H7" s="159"/>
      <c r="I7" s="53"/>
      <c r="J7" s="35"/>
      <c r="K7" s="35"/>
      <c r="L7" s="404" t="s">
        <v>126</v>
      </c>
      <c r="M7" s="379">
        <v>9</v>
      </c>
      <c r="N7" s="88">
        <v>166700</v>
      </c>
      <c r="O7" s="35"/>
      <c r="P7" s="405">
        <f t="shared" ref="P7:P17" si="0">N7/12</f>
        <v>13891.666666666666</v>
      </c>
      <c r="Q7" s="35"/>
      <c r="R7" s="35"/>
      <c r="S7" s="35"/>
      <c r="T7" s="35"/>
      <c r="U7" s="35"/>
      <c r="V7" s="35"/>
      <c r="X7" s="110" t="s">
        <v>30</v>
      </c>
      <c r="AA7" s="110" t="s">
        <v>39</v>
      </c>
      <c r="AB7" s="127">
        <f>SUM(Z35:AB35)</f>
        <v>0</v>
      </c>
      <c r="AF7" s="589"/>
      <c r="AG7" s="590"/>
      <c r="AH7" s="597"/>
      <c r="AI7" s="598"/>
      <c r="AJ7" s="590"/>
      <c r="AK7" s="584"/>
      <c r="AL7" s="584"/>
      <c r="AM7" s="584"/>
      <c r="AN7" s="606"/>
    </row>
    <row r="8" spans="1:40" ht="12.75" customHeight="1">
      <c r="A8" s="64"/>
      <c r="B8" s="31"/>
      <c r="C8" s="136"/>
      <c r="D8" s="690"/>
      <c r="E8" s="691"/>
      <c r="F8" s="341" t="s">
        <v>81</v>
      </c>
      <c r="H8" s="159"/>
      <c r="I8" s="53"/>
      <c r="J8" s="35"/>
      <c r="K8" s="35"/>
      <c r="L8" s="404" t="s">
        <v>127</v>
      </c>
      <c r="M8" s="379">
        <v>10</v>
      </c>
      <c r="N8" s="88">
        <v>171900</v>
      </c>
      <c r="O8" s="35"/>
      <c r="P8" s="405">
        <f t="shared" si="0"/>
        <v>14325</v>
      </c>
      <c r="Q8" s="35"/>
      <c r="R8" s="35"/>
      <c r="S8" s="35"/>
      <c r="T8" s="35"/>
      <c r="U8" s="35"/>
      <c r="V8" s="35"/>
      <c r="X8" s="110"/>
      <c r="AA8" s="110"/>
      <c r="AB8" s="127"/>
      <c r="AF8" s="591"/>
      <c r="AG8" s="592"/>
      <c r="AH8" s="599"/>
      <c r="AI8" s="600"/>
      <c r="AJ8" s="592"/>
      <c r="AK8" s="585"/>
      <c r="AL8" s="585"/>
      <c r="AM8" s="585"/>
      <c r="AN8" s="607"/>
    </row>
    <row r="9" spans="1:40" ht="12.75" customHeight="1">
      <c r="A9" s="64"/>
      <c r="B9" s="31"/>
      <c r="C9" s="136" t="s">
        <v>44</v>
      </c>
      <c r="D9" s="672" t="s">
        <v>210</v>
      </c>
      <c r="E9" s="673"/>
      <c r="F9" s="673"/>
      <c r="G9" s="674"/>
      <c r="H9" s="159"/>
      <c r="I9" s="53"/>
      <c r="J9" s="35"/>
      <c r="K9" s="35"/>
      <c r="L9" s="404" t="s">
        <v>129</v>
      </c>
      <c r="M9" s="379">
        <v>11</v>
      </c>
      <c r="N9" s="88">
        <v>175700</v>
      </c>
      <c r="O9" s="35"/>
      <c r="P9" s="405">
        <f t="shared" si="0"/>
        <v>14641.666666666666</v>
      </c>
      <c r="Q9" s="35"/>
      <c r="R9" s="35"/>
      <c r="S9" s="35"/>
      <c r="T9" s="35"/>
      <c r="U9" s="35"/>
      <c r="V9" s="35"/>
      <c r="X9" s="110"/>
      <c r="AA9" s="110"/>
      <c r="AB9" s="127"/>
      <c r="AF9" s="617" t="s">
        <v>167</v>
      </c>
      <c r="AG9" s="604"/>
      <c r="AH9" s="604" t="s">
        <v>168</v>
      </c>
      <c r="AI9" s="604"/>
      <c r="AJ9" s="604"/>
      <c r="AK9" s="603" t="s">
        <v>186</v>
      </c>
      <c r="AL9" s="604" t="s">
        <v>171</v>
      </c>
      <c r="AM9" s="604" t="s">
        <v>172</v>
      </c>
      <c r="AN9" s="619" t="s">
        <v>166</v>
      </c>
    </row>
    <row r="10" spans="1:40" ht="12.75" customHeight="1">
      <c r="A10" s="64"/>
      <c r="B10" s="31"/>
      <c r="C10" s="136"/>
      <c r="D10" s="675"/>
      <c r="E10" s="676"/>
      <c r="F10" s="676"/>
      <c r="G10" s="677"/>
      <c r="H10" s="159"/>
      <c r="I10" s="53"/>
      <c r="J10" s="35"/>
      <c r="K10" s="35"/>
      <c r="L10" s="404" t="s">
        <v>131</v>
      </c>
      <c r="M10" s="379">
        <v>12</v>
      </c>
      <c r="N10" s="88">
        <v>180100</v>
      </c>
      <c r="O10" s="35"/>
      <c r="P10" s="405">
        <f t="shared" si="0"/>
        <v>15008.333333333334</v>
      </c>
      <c r="Q10" s="35"/>
      <c r="R10" s="35"/>
      <c r="S10" s="35"/>
      <c r="T10" s="35"/>
      <c r="U10" s="35"/>
      <c r="V10" s="35"/>
      <c r="X10" s="110"/>
      <c r="AA10" s="110"/>
      <c r="AB10" s="127"/>
      <c r="AF10" s="617"/>
      <c r="AG10" s="604"/>
      <c r="AH10" s="604"/>
      <c r="AI10" s="604"/>
      <c r="AJ10" s="604"/>
      <c r="AK10" s="604"/>
      <c r="AL10" s="604"/>
      <c r="AM10" s="604"/>
      <c r="AN10" s="619"/>
    </row>
    <row r="11" spans="1:40" ht="12.75" customHeight="1">
      <c r="A11" s="64"/>
      <c r="B11" s="31"/>
      <c r="C11" s="136" t="s">
        <v>45</v>
      </c>
      <c r="D11" s="672" t="s">
        <v>211</v>
      </c>
      <c r="E11" s="673"/>
      <c r="F11" s="673"/>
      <c r="G11" s="674"/>
      <c r="H11" s="159"/>
      <c r="I11" s="53"/>
      <c r="J11" s="35"/>
      <c r="K11" s="35"/>
      <c r="L11" s="404" t="s">
        <v>132</v>
      </c>
      <c r="M11" s="379">
        <v>13</v>
      </c>
      <c r="N11" s="88">
        <v>183500</v>
      </c>
      <c r="O11" s="35"/>
      <c r="P11" s="405">
        <f t="shared" si="0"/>
        <v>15291.666666666666</v>
      </c>
      <c r="Q11" s="35"/>
      <c r="R11" s="35"/>
      <c r="S11" s="35"/>
      <c r="T11" s="35"/>
      <c r="U11" s="35"/>
      <c r="V11" s="35"/>
      <c r="X11" s="110"/>
      <c r="AA11" s="110"/>
      <c r="AB11" s="127"/>
      <c r="AF11" s="617"/>
      <c r="AG11" s="604"/>
      <c r="AH11" s="604"/>
      <c r="AI11" s="604"/>
      <c r="AJ11" s="604"/>
      <c r="AK11" s="604"/>
      <c r="AL11" s="604"/>
      <c r="AM11" s="604"/>
      <c r="AN11" s="619"/>
    </row>
    <row r="12" spans="1:40" ht="12.75" customHeight="1">
      <c r="A12" s="64"/>
      <c r="B12" s="31"/>
      <c r="C12" s="136"/>
      <c r="D12" s="675"/>
      <c r="E12" s="676"/>
      <c r="F12" s="676"/>
      <c r="G12" s="677"/>
      <c r="H12" s="159"/>
      <c r="I12" s="53"/>
      <c r="J12" s="35"/>
      <c r="K12" s="35"/>
      <c r="L12" s="404" t="s">
        <v>133</v>
      </c>
      <c r="M12" s="379">
        <v>14</v>
      </c>
      <c r="N12" s="88">
        <v>186600</v>
      </c>
      <c r="O12" s="35"/>
      <c r="P12" s="405">
        <f t="shared" si="0"/>
        <v>15550</v>
      </c>
      <c r="Q12" s="35"/>
      <c r="R12" s="35"/>
      <c r="S12" s="35"/>
      <c r="T12" s="35"/>
      <c r="U12" s="35"/>
      <c r="V12" s="35"/>
      <c r="X12" s="110"/>
      <c r="AA12" s="110"/>
      <c r="AB12" s="127"/>
      <c r="AF12" s="587" t="s">
        <v>167</v>
      </c>
      <c r="AG12" s="588"/>
      <c r="AH12" s="595" t="s">
        <v>173</v>
      </c>
      <c r="AI12" s="596"/>
      <c r="AJ12" s="588"/>
      <c r="AK12" s="603" t="s">
        <v>186</v>
      </c>
      <c r="AL12" s="583" t="s">
        <v>175</v>
      </c>
      <c r="AM12" s="604" t="s">
        <v>172</v>
      </c>
      <c r="AN12" s="605" t="s">
        <v>166</v>
      </c>
    </row>
    <row r="13" spans="1:40">
      <c r="A13" s="64"/>
      <c r="B13" s="31"/>
      <c r="C13" s="136"/>
      <c r="D13" s="136"/>
      <c r="E13" s="402"/>
      <c r="F13" s="403"/>
      <c r="H13" s="159"/>
      <c r="I13" s="53"/>
      <c r="J13" s="35"/>
      <c r="K13" s="35"/>
      <c r="L13" s="340" t="s">
        <v>140</v>
      </c>
      <c r="M13" s="379">
        <v>15</v>
      </c>
      <c r="N13" s="88">
        <v>200000</v>
      </c>
      <c r="O13" s="35"/>
      <c r="P13" s="405">
        <f t="shared" si="0"/>
        <v>16666.666666666668</v>
      </c>
      <c r="Q13" s="35"/>
      <c r="R13" s="35"/>
      <c r="S13" s="35"/>
      <c r="T13" s="35"/>
      <c r="U13" s="35"/>
      <c r="V13" s="35"/>
      <c r="X13" s="110"/>
      <c r="AA13" s="110"/>
      <c r="AB13" s="127"/>
      <c r="AF13" s="589"/>
      <c r="AG13" s="590"/>
      <c r="AH13" s="597"/>
      <c r="AI13" s="598"/>
      <c r="AJ13" s="590"/>
      <c r="AK13" s="604"/>
      <c r="AL13" s="584"/>
      <c r="AM13" s="604"/>
      <c r="AN13" s="606"/>
    </row>
    <row r="14" spans="1:40">
      <c r="A14" s="64"/>
      <c r="B14" s="31"/>
      <c r="C14" s="136"/>
      <c r="D14" s="136"/>
      <c r="E14" s="402"/>
      <c r="F14" s="403"/>
      <c r="H14" s="159"/>
      <c r="I14" s="53"/>
      <c r="J14" s="35"/>
      <c r="K14" s="35"/>
      <c r="L14" s="340" t="s">
        <v>136</v>
      </c>
      <c r="M14" s="379">
        <v>16</v>
      </c>
      <c r="N14" s="88">
        <v>191300</v>
      </c>
      <c r="O14" s="35"/>
      <c r="P14" s="405">
        <f t="shared" si="0"/>
        <v>15941.666666666666</v>
      </c>
      <c r="Q14" s="35"/>
      <c r="R14" s="35"/>
      <c r="S14" s="35"/>
      <c r="T14" s="35"/>
      <c r="U14" s="35"/>
      <c r="V14" s="35"/>
      <c r="X14" s="110"/>
      <c r="AA14" s="110"/>
      <c r="AB14" s="127"/>
      <c r="AF14" s="591"/>
      <c r="AG14" s="592"/>
      <c r="AH14" s="599"/>
      <c r="AI14" s="600"/>
      <c r="AJ14" s="592"/>
      <c r="AK14" s="604"/>
      <c r="AL14" s="585"/>
      <c r="AM14" s="604"/>
      <c r="AN14" s="607"/>
    </row>
    <row r="15" spans="1:40">
      <c r="A15" s="64"/>
      <c r="B15" s="31"/>
      <c r="C15" s="136"/>
      <c r="D15" s="136"/>
      <c r="E15" s="402"/>
      <c r="F15" s="403"/>
      <c r="H15" s="159"/>
      <c r="I15" s="326"/>
      <c r="J15" s="160"/>
      <c r="K15" s="160"/>
      <c r="L15" s="510" t="s">
        <v>135</v>
      </c>
      <c r="M15" s="507">
        <v>17</v>
      </c>
      <c r="N15" s="508">
        <v>207000</v>
      </c>
      <c r="O15" s="160"/>
      <c r="P15" s="509">
        <f t="shared" si="0"/>
        <v>17250</v>
      </c>
      <c r="Q15" s="35"/>
      <c r="R15" s="35"/>
      <c r="S15" s="35"/>
      <c r="T15" s="35"/>
      <c r="U15" s="35"/>
      <c r="V15" s="35"/>
      <c r="X15" s="110"/>
      <c r="AA15" s="110"/>
      <c r="AB15" s="127"/>
      <c r="AF15" s="587" t="s">
        <v>176</v>
      </c>
      <c r="AG15" s="588"/>
      <c r="AH15" s="595" t="s">
        <v>168</v>
      </c>
      <c r="AI15" s="596"/>
      <c r="AJ15" s="588"/>
      <c r="AK15" s="609" t="s">
        <v>187</v>
      </c>
      <c r="AL15" s="583" t="s">
        <v>177</v>
      </c>
      <c r="AM15" s="583" t="s">
        <v>178</v>
      </c>
      <c r="AN15" s="605" t="s">
        <v>166</v>
      </c>
    </row>
    <row r="16" spans="1:40">
      <c r="A16" s="64"/>
      <c r="B16" s="31"/>
      <c r="C16" s="136"/>
      <c r="D16" s="136"/>
      <c r="E16" s="402"/>
      <c r="F16" s="403"/>
      <c r="H16" s="474"/>
      <c r="I16" s="468"/>
      <c r="J16" s="469"/>
      <c r="K16" s="469"/>
      <c r="L16" s="470" t="s">
        <v>151</v>
      </c>
      <c r="M16" s="471">
        <v>18</v>
      </c>
      <c r="N16" s="472">
        <v>196700</v>
      </c>
      <c r="O16" s="469"/>
      <c r="P16" s="473">
        <f t="shared" si="0"/>
        <v>16391.666666666668</v>
      </c>
      <c r="Q16" s="35"/>
      <c r="R16" s="35"/>
      <c r="S16" s="35"/>
      <c r="T16" s="35"/>
      <c r="U16" s="35"/>
      <c r="V16" s="35"/>
      <c r="X16" s="110"/>
      <c r="AA16" s="110"/>
      <c r="AB16" s="127"/>
      <c r="AF16" s="589"/>
      <c r="AG16" s="590"/>
      <c r="AH16" s="597"/>
      <c r="AI16" s="598"/>
      <c r="AJ16" s="590"/>
      <c r="AK16" s="584"/>
      <c r="AL16" s="584"/>
      <c r="AM16" s="584"/>
      <c r="AN16" s="606"/>
    </row>
    <row r="17" spans="1:40">
      <c r="A17" s="64"/>
      <c r="B17" s="31"/>
      <c r="C17" s="136"/>
      <c r="D17" s="136"/>
      <c r="E17" s="402"/>
      <c r="F17" s="403"/>
      <c r="H17" s="159"/>
      <c r="I17" s="326"/>
      <c r="J17" s="160"/>
      <c r="K17" s="160"/>
      <c r="L17" s="510" t="s">
        <v>139</v>
      </c>
      <c r="M17" s="507">
        <v>19</v>
      </c>
      <c r="N17" s="508">
        <v>199700</v>
      </c>
      <c r="O17" s="160"/>
      <c r="P17" s="509">
        <f t="shared" si="0"/>
        <v>16641.666666666668</v>
      </c>
      <c r="Q17" s="35"/>
      <c r="R17" s="35"/>
      <c r="S17" s="35"/>
      <c r="T17" s="35"/>
      <c r="U17" s="35"/>
      <c r="V17" s="35"/>
      <c r="X17" s="110"/>
      <c r="AA17" s="110"/>
      <c r="AB17" s="127"/>
      <c r="AF17" s="591"/>
      <c r="AG17" s="592"/>
      <c r="AH17" s="599"/>
      <c r="AI17" s="600"/>
      <c r="AJ17" s="592"/>
      <c r="AK17" s="585"/>
      <c r="AL17" s="585"/>
      <c r="AM17" s="585"/>
      <c r="AN17" s="607"/>
    </row>
    <row r="18" spans="1:40">
      <c r="A18" s="64"/>
      <c r="B18" s="31"/>
      <c r="C18" s="136"/>
      <c r="D18" s="136"/>
      <c r="E18" s="402"/>
      <c r="F18" s="403"/>
      <c r="H18" s="159"/>
      <c r="I18" s="203"/>
      <c r="J18" s="457"/>
      <c r="K18" s="457"/>
      <c r="L18" s="505" t="s">
        <v>189</v>
      </c>
      <c r="M18" s="458">
        <v>20</v>
      </c>
      <c r="N18" s="459">
        <v>179700</v>
      </c>
      <c r="O18" s="457"/>
      <c r="P18" s="460">
        <f>N18/12</f>
        <v>14975</v>
      </c>
      <c r="Q18" s="35"/>
      <c r="R18" s="35"/>
      <c r="S18" s="35"/>
      <c r="T18" s="35"/>
      <c r="U18" s="35"/>
      <c r="V18" s="35"/>
      <c r="X18" s="110"/>
      <c r="AA18" s="110"/>
      <c r="AB18" s="127"/>
      <c r="AF18" s="587" t="s">
        <v>176</v>
      </c>
      <c r="AG18" s="588"/>
      <c r="AH18" s="595" t="s">
        <v>173</v>
      </c>
      <c r="AI18" s="596"/>
      <c r="AJ18" s="588"/>
      <c r="AK18" s="609" t="s">
        <v>187</v>
      </c>
      <c r="AL18" s="583" t="s">
        <v>175</v>
      </c>
      <c r="AM18" s="583" t="s">
        <v>178</v>
      </c>
      <c r="AN18" s="605" t="s">
        <v>166</v>
      </c>
    </row>
    <row r="19" spans="1:40">
      <c r="A19" s="64"/>
      <c r="B19" s="31"/>
      <c r="C19" s="136"/>
      <c r="D19" s="136"/>
      <c r="E19" s="402"/>
      <c r="F19" s="403"/>
      <c r="H19" s="159"/>
      <c r="I19" s="203"/>
      <c r="J19" s="457"/>
      <c r="K19" s="457"/>
      <c r="L19" s="505" t="s">
        <v>192</v>
      </c>
      <c r="M19" s="458">
        <v>21</v>
      </c>
      <c r="N19" s="459">
        <v>221000</v>
      </c>
      <c r="O19" s="457"/>
      <c r="P19" s="460">
        <f>N19/12</f>
        <v>18416.666666666668</v>
      </c>
      <c r="Q19" s="35"/>
      <c r="R19" s="35"/>
      <c r="S19" s="35"/>
      <c r="T19" s="35"/>
      <c r="U19" s="35"/>
      <c r="V19" s="35"/>
      <c r="X19" s="110"/>
      <c r="AA19" s="110"/>
      <c r="AB19" s="127"/>
      <c r="AF19" s="589"/>
      <c r="AG19" s="590"/>
      <c r="AH19" s="597"/>
      <c r="AI19" s="598"/>
      <c r="AJ19" s="590"/>
      <c r="AK19" s="610"/>
      <c r="AL19" s="584"/>
      <c r="AM19" s="584"/>
      <c r="AN19" s="606"/>
    </row>
    <row r="20" spans="1:40" ht="12.75" customHeight="1">
      <c r="A20" s="64"/>
      <c r="B20" s="31"/>
      <c r="C20" s="136"/>
      <c r="D20" s="666"/>
      <c r="E20" s="667"/>
      <c r="F20" s="668"/>
      <c r="H20" s="159"/>
      <c r="I20" s="53"/>
      <c r="J20" s="35"/>
      <c r="K20" s="35"/>
      <c r="L20" s="404"/>
      <c r="M20" s="406"/>
      <c r="N20" s="88"/>
      <c r="O20" s="35"/>
      <c r="P20" s="405"/>
      <c r="Q20" s="35"/>
      <c r="R20" s="35"/>
      <c r="S20" s="35"/>
      <c r="T20" s="35"/>
      <c r="U20" s="35"/>
      <c r="V20" s="35"/>
      <c r="X20" s="110"/>
      <c r="AA20" s="110"/>
      <c r="AB20" s="127"/>
      <c r="AF20" s="589"/>
      <c r="AG20" s="590"/>
      <c r="AH20" s="597"/>
      <c r="AI20" s="598"/>
      <c r="AJ20" s="590"/>
      <c r="AK20" s="584"/>
      <c r="AL20" s="584"/>
      <c r="AM20" s="584"/>
      <c r="AN20" s="606"/>
    </row>
    <row r="21" spans="1:40" ht="12.75" customHeight="1" thickBot="1">
      <c r="A21" s="64"/>
      <c r="B21" s="31"/>
      <c r="C21" s="136" t="s">
        <v>80</v>
      </c>
      <c r="D21" s="669"/>
      <c r="E21" s="670"/>
      <c r="F21" s="671"/>
      <c r="H21" s="160"/>
      <c r="I21" s="35"/>
      <c r="J21" s="35"/>
      <c r="K21" s="35"/>
      <c r="L21" s="72"/>
      <c r="M21" s="136" t="s">
        <v>70</v>
      </c>
      <c r="N21" s="132" t="str">
        <f>IF(OR(N32&gt;Fed_Limit,N33&gt;Fed_Limit,N34&gt;Fed_Limit,N35&gt;Fed_Limit),"Yes","No")</f>
        <v>No</v>
      </c>
      <c r="O21" s="132"/>
      <c r="P21" s="80"/>
      <c r="Q21" s="132"/>
      <c r="R21" s="132"/>
      <c r="S21" s="132"/>
      <c r="T21" s="132"/>
      <c r="U21" s="132"/>
      <c r="V21" s="132"/>
      <c r="X21" s="630" t="s">
        <v>36</v>
      </c>
      <c r="Y21" s="632"/>
      <c r="Z21" s="630" t="s">
        <v>34</v>
      </c>
      <c r="AA21" s="631"/>
      <c r="AB21" s="632"/>
      <c r="AF21" s="593"/>
      <c r="AG21" s="594"/>
      <c r="AH21" s="601"/>
      <c r="AI21" s="602"/>
      <c r="AJ21" s="594"/>
      <c r="AK21" s="586"/>
      <c r="AL21" s="586"/>
      <c r="AM21" s="586"/>
      <c r="AN21" s="608"/>
    </row>
    <row r="22" spans="1:40" ht="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579" t="s">
        <v>179</v>
      </c>
      <c r="AG23" s="579"/>
      <c r="AH23" s="579"/>
      <c r="AI23" s="579"/>
      <c r="AJ23" s="579"/>
      <c r="AK23" s="579"/>
      <c r="AL23" s="580"/>
      <c r="AM23" s="580"/>
      <c r="AN23" s="580"/>
    </row>
    <row r="24" spans="1:40" ht="14.25" customHeight="1">
      <c r="A24" s="256"/>
      <c r="B24" s="35"/>
      <c r="D24" s="56" t="s">
        <v>65</v>
      </c>
      <c r="E24" s="35"/>
      <c r="F24" s="35"/>
      <c r="G24" s="539"/>
      <c r="H24" s="35"/>
      <c r="I24" s="35"/>
      <c r="J24" s="539"/>
      <c r="K24" s="35"/>
      <c r="L24" s="35"/>
      <c r="M24" s="35"/>
      <c r="N24" s="51"/>
      <c r="O24" s="35"/>
      <c r="P24" s="35"/>
      <c r="Q24" s="35"/>
      <c r="R24" s="35"/>
      <c r="S24" s="35"/>
      <c r="T24" s="35"/>
      <c r="U24" s="35"/>
      <c r="V24" s="35"/>
      <c r="X24" s="123"/>
      <c r="Y24" s="103"/>
      <c r="Z24" s="102"/>
      <c r="AA24" s="102"/>
      <c r="AB24" s="103"/>
      <c r="AF24" s="581" t="s">
        <v>180</v>
      </c>
      <c r="AG24" s="581"/>
      <c r="AH24" s="581"/>
      <c r="AI24" s="581"/>
      <c r="AJ24" s="581"/>
      <c r="AK24" s="581"/>
      <c r="AL24" s="581"/>
      <c r="AM24" s="581"/>
      <c r="AN24" s="581"/>
    </row>
    <row r="25" spans="1:40" ht="14.25" customHeight="1">
      <c r="A25" s="64"/>
      <c r="B25" s="425"/>
      <c r="D25" s="56"/>
      <c r="E25" s="562"/>
      <c r="F25" s="329" t="s">
        <v>81</v>
      </c>
      <c r="G25" s="136" t="s">
        <v>0</v>
      </c>
      <c r="H25" s="578">
        <f>IF(ISERROR(IF(E28="",E25/J36,E28)),0,IF(E28="",E25/J36,E28))</f>
        <v>0</v>
      </c>
      <c r="I25" s="539"/>
      <c r="J25" s="572"/>
      <c r="K25" s="573"/>
      <c r="L25" s="574"/>
      <c r="M25" s="35"/>
      <c r="N25" s="554"/>
      <c r="O25" s="35"/>
      <c r="P25" s="35"/>
      <c r="Q25" s="35"/>
      <c r="R25" s="35"/>
      <c r="S25" s="35"/>
      <c r="T25" s="35"/>
      <c r="U25" s="35"/>
      <c r="V25" s="35"/>
      <c r="X25" s="123"/>
      <c r="Y25" s="103"/>
      <c r="Z25" s="102"/>
      <c r="AA25" s="102"/>
      <c r="AB25" s="103"/>
      <c r="AF25" s="582" t="s">
        <v>181</v>
      </c>
      <c r="AG25" s="582"/>
      <c r="AH25" s="582"/>
      <c r="AI25" s="582"/>
      <c r="AJ25" s="582"/>
      <c r="AK25" s="582"/>
      <c r="AL25" s="582"/>
      <c r="AM25" s="582"/>
      <c r="AN25" s="582"/>
    </row>
    <row r="26" spans="1:40" ht="14.25" customHeight="1">
      <c r="A26" s="256"/>
      <c r="B26" s="257"/>
      <c r="D26" s="35"/>
      <c r="E26" s="575" t="str">
        <f>IF(E25&lt;&gt;N35,"Annual Salary entered is less than the minimum for the scale and Base Entered.  See minimum in Cell N35 for minimum annual rate OR change the scale and/or base rate","")</f>
        <v/>
      </c>
      <c r="F26" s="35"/>
      <c r="G26" s="35"/>
      <c r="H26" s="35"/>
      <c r="I26" s="539"/>
      <c r="J26" s="534"/>
      <c r="K26" s="539"/>
      <c r="L26" s="539"/>
      <c r="M26" s="539"/>
      <c r="N26" s="556"/>
      <c r="O26" s="35"/>
      <c r="P26" s="35"/>
      <c r="Q26" s="35"/>
      <c r="R26" s="35"/>
      <c r="S26" s="35"/>
      <c r="T26" s="35"/>
      <c r="U26" s="35"/>
      <c r="V26" s="35"/>
      <c r="X26" s="123"/>
      <c r="Y26" s="103"/>
      <c r="Z26" s="102"/>
      <c r="AA26" s="102"/>
      <c r="AB26" s="103"/>
      <c r="AF26" s="35"/>
      <c r="AG26" s="35"/>
      <c r="AH26" s="49"/>
      <c r="AI26" s="35"/>
      <c r="AJ26" s="136" t="s">
        <v>188</v>
      </c>
      <c r="AK26" s="530" t="s">
        <v>182</v>
      </c>
      <c r="AL26" s="35"/>
      <c r="AM26" s="262" t="s">
        <v>183</v>
      </c>
      <c r="AN26" s="35"/>
    </row>
    <row r="27" spans="1:40" ht="13.5" customHeight="1">
      <c r="A27" s="255"/>
      <c r="B27" s="35"/>
      <c r="D27" s="35" t="s">
        <v>66</v>
      </c>
      <c r="E27" s="35"/>
      <c r="F27" s="35"/>
      <c r="G27" s="35"/>
      <c r="H27" s="35"/>
      <c r="I27" s="35"/>
      <c r="J27" s="53"/>
      <c r="K27" s="557"/>
      <c r="L27" s="135"/>
      <c r="M27" s="135"/>
      <c r="N27" s="51"/>
      <c r="O27" s="35"/>
      <c r="P27" s="35"/>
      <c r="Q27" s="35"/>
      <c r="R27" s="35"/>
      <c r="S27" s="35"/>
      <c r="T27" s="35"/>
      <c r="U27" s="35"/>
      <c r="V27" s="35"/>
      <c r="X27" s="123"/>
      <c r="Y27" s="103"/>
      <c r="Z27" s="102"/>
      <c r="AA27" s="102"/>
      <c r="AB27" s="103"/>
    </row>
    <row r="28" spans="1:40" ht="13.5" customHeight="1">
      <c r="A28" s="64"/>
      <c r="B28" s="35"/>
      <c r="C28" s="35"/>
      <c r="D28" s="35"/>
      <c r="E28" s="413"/>
      <c r="F28" s="213"/>
      <c r="G28" s="35" t="s">
        <v>74</v>
      </c>
      <c r="H28" s="247">
        <f>IF(ISERROR(IF(E25="",E28*J36,E25)),0,IF(E25="",E28*J36,E25))</f>
        <v>0</v>
      </c>
      <c r="I28" s="35"/>
      <c r="J28" s="134"/>
      <c r="K28" s="135"/>
      <c r="L28" s="538"/>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C30" s="146" t="s">
        <v>43</v>
      </c>
      <c r="D30" s="146"/>
      <c r="E30" s="414"/>
      <c r="G30" s="161"/>
      <c r="H30" s="161"/>
      <c r="I30" s="275"/>
      <c r="J30" s="141" t="s">
        <v>42</v>
      </c>
      <c r="K30" s="93"/>
      <c r="L30" s="93"/>
      <c r="M30" s="93"/>
      <c r="N30" s="142"/>
      <c r="O30" s="86" t="s">
        <v>40</v>
      </c>
      <c r="P30" s="86"/>
      <c r="Q30" s="86"/>
      <c r="R30" s="86"/>
      <c r="S30" s="86"/>
      <c r="T30" s="86"/>
      <c r="U30" s="86"/>
      <c r="V30" s="86"/>
      <c r="X30" s="113"/>
      <c r="Y30" s="106">
        <f t="array" ref="Y30">SUM(IF($A$41:$A$61&lt;&gt;"x",$J$41:$J$61,0))</f>
        <v>0</v>
      </c>
      <c r="Z30" s="248">
        <f>Y30*$N$35</f>
        <v>0</v>
      </c>
      <c r="AA30" s="248">
        <f>AA83*Fed_Limit</f>
        <v>0</v>
      </c>
      <c r="AB30" s="84">
        <f>AB83*12</f>
        <v>0</v>
      </c>
    </row>
    <row r="31" spans="1:40" ht="13">
      <c r="A31" s="64"/>
      <c r="B31" s="35"/>
      <c r="C31" s="136" t="s">
        <v>1</v>
      </c>
      <c r="D31" s="136"/>
      <c r="E31" s="415"/>
      <c r="H31" s="162"/>
      <c r="I31" s="56"/>
      <c r="J31" s="462"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c r="A32" s="281"/>
      <c r="B32" s="56"/>
      <c r="C32" s="404"/>
      <c r="D32" s="404"/>
      <c r="E32" s="565"/>
      <c r="F32" s="261" t="s">
        <v>81</v>
      </c>
      <c r="G32" s="558"/>
      <c r="H32" s="162"/>
      <c r="I32" s="56"/>
      <c r="J32" s="276">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X32" s="114"/>
      <c r="Y32" s="107"/>
      <c r="Z32" s="249"/>
      <c r="AA32" s="249"/>
      <c r="AB32" s="99"/>
    </row>
    <row r="33" spans="1:29">
      <c r="A33" s="64"/>
      <c r="B33" s="35"/>
      <c r="C33" s="404"/>
      <c r="D33" s="404"/>
      <c r="E33" s="566"/>
      <c r="F33" s="162"/>
      <c r="G33" s="559"/>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c r="A34" s="64"/>
      <c r="B34" s="35"/>
      <c r="C34" s="404"/>
      <c r="D34" s="404"/>
      <c r="E34" s="567"/>
      <c r="F34" s="162"/>
      <c r="G34" s="559"/>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164" t="s">
        <v>75</v>
      </c>
      <c r="D35" s="164"/>
      <c r="E35" s="540"/>
      <c r="F35" s="163"/>
      <c r="G35" s="560"/>
      <c r="H35" s="163"/>
      <c r="I35" s="61"/>
      <c r="J35" s="353">
        <f>ROUND(Prof_Above,-2)</f>
        <v>0</v>
      </c>
      <c r="K35" s="533">
        <f>ROUND(IF(Prof_Base_Above=181700,VLOOKUP(Scale_Above,Above_Scale_Minimum,3,FALSE),(IF(Scale_Above=0,0,IF(Scale_Above=1,Prof_Base_Above*0.1,IF(Scale_Above=2,Prof_Base_Above*0.2,IF(Scale_Above&gt;=3,Prof_Base_Above*0.3)))))),-2)</f>
        <v>0</v>
      </c>
      <c r="L35" s="533">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M35" s="354">
        <f>IF(SUM(E25-Prof_Base_Above-K35-L35)&gt;0,(SUM(E25-K35-L35-Prof_Base_Above)),0)</f>
        <v>0</v>
      </c>
      <c r="N35" s="570">
        <f>SUM(J35:M35)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571">
        <f>SUM(J36:M36)</f>
        <v>0</v>
      </c>
      <c r="O36" s="49"/>
      <c r="P36" s="49"/>
      <c r="Q36" s="49"/>
      <c r="R36" s="49"/>
      <c r="S36" s="49"/>
      <c r="T36" s="49"/>
      <c r="U36" s="49"/>
      <c r="V36" s="49"/>
      <c r="X36" s="8" t="s">
        <v>6</v>
      </c>
      <c r="Y36" s="109"/>
      <c r="Z36" s="100"/>
      <c r="AA36" s="101"/>
      <c r="AB36" s="105"/>
    </row>
    <row r="37" spans="1:29">
      <c r="B37" s="263"/>
      <c r="C37" s="35"/>
      <c r="D37" s="35"/>
      <c r="E37" s="35"/>
      <c r="F37" s="35"/>
      <c r="G37" s="35"/>
      <c r="H37" s="62"/>
      <c r="I37" s="236" t="s">
        <v>72</v>
      </c>
      <c r="J37" s="239">
        <f>J36/12</f>
        <v>0</v>
      </c>
      <c r="K37" s="239">
        <f>K36/12</f>
        <v>0</v>
      </c>
      <c r="L37" s="239">
        <f>L36/12</f>
        <v>0</v>
      </c>
      <c r="M37" s="239">
        <f>M36/12</f>
        <v>0</v>
      </c>
      <c r="N37" s="239">
        <f>N36/12</f>
        <v>0</v>
      </c>
      <c r="O37" s="252"/>
      <c r="P37" s="252"/>
      <c r="Q37" s="252"/>
      <c r="R37" s="252"/>
      <c r="S37" s="252"/>
      <c r="T37" s="252"/>
      <c r="U37" s="252"/>
      <c r="V37" s="252"/>
      <c r="X37" s="35"/>
      <c r="Y37" s="49"/>
      <c r="Z37" s="49"/>
      <c r="AA37" s="49"/>
      <c r="AB37" s="130"/>
    </row>
    <row r="38" spans="1:29" ht="13" thickBot="1">
      <c r="A38" s="262" t="s">
        <v>81</v>
      </c>
      <c r="G38" s="373"/>
      <c r="I38" s="371" t="s">
        <v>117</v>
      </c>
      <c r="J38" s="561">
        <f>ROUND(IF(N36&gt;0,J36/N36*E30,0),4)</f>
        <v>0</v>
      </c>
      <c r="K38" s="553">
        <f>ROUND(IF(N36=0,0,IF(K36/N36+J38&gt;N38,N38-J38,IF(N36&gt;0,K36/N36*E30))),4)</f>
        <v>0</v>
      </c>
      <c r="L38" s="553">
        <f>ROUND(IF(N36=0,0,IF((L36/N36)+J38+K38&gt;E30,E30-J38-K38,IF(N36&gt;0,L36/N36*E30,0))),4)</f>
        <v>0</v>
      </c>
      <c r="M38" s="555">
        <f>SUM(N38-L38-K38-J38)</f>
        <v>0</v>
      </c>
      <c r="N38" s="372">
        <f>E30</f>
        <v>0</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0"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63" t="s">
        <v>142</v>
      </c>
      <c r="K40" s="59" t="s">
        <v>3</v>
      </c>
      <c r="L40" s="59" t="s">
        <v>4</v>
      </c>
      <c r="M40" s="60" t="s">
        <v>5</v>
      </c>
      <c r="N40" s="227" t="s">
        <v>9</v>
      </c>
      <c r="O40" s="133" t="s">
        <v>40</v>
      </c>
      <c r="P40" s="464" t="s">
        <v>143</v>
      </c>
      <c r="Q40" s="59" t="s">
        <v>16</v>
      </c>
      <c r="R40" s="59" t="s">
        <v>41</v>
      </c>
      <c r="S40" s="465" t="s">
        <v>17</v>
      </c>
      <c r="T40" s="285"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6"/>
      <c r="U41" s="56"/>
      <c r="V41" s="56"/>
      <c r="W41" s="1"/>
    </row>
    <row r="42" spans="1:29">
      <c r="A42" s="410"/>
      <c r="B42" s="418"/>
      <c r="C42" s="413"/>
      <c r="D42" s="413"/>
      <c r="E42" s="413"/>
      <c r="F42" s="419"/>
      <c r="G42" s="420"/>
      <c r="H42" s="168">
        <f t="shared" ref="H42:H61" si="1">IF(ISERROR(IF(A42="",I42*(Annual_Salary/12),I42*(VLOOKUP(A42,SalaryLimits,2,FALSE))/12)),0,IF(A42="",I42*(Annual_Salary/12),I42*(VLOOKUP(A42,SalaryLimits,2,FALSE))/12))</f>
        <v>0</v>
      </c>
      <c r="I42" s="348">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563">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5">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10"/>
      <c r="B43" s="418"/>
      <c r="C43" s="413"/>
      <c r="D43" s="413"/>
      <c r="E43" s="413"/>
      <c r="F43" s="419"/>
      <c r="G43" s="421"/>
      <c r="H43" s="168">
        <f t="shared" si="1"/>
        <v>0</v>
      </c>
      <c r="I43" s="348">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5">
        <f t="shared" si="12"/>
        <v>0</v>
      </c>
      <c r="U43" s="220"/>
      <c r="V43" s="220"/>
      <c r="W43" s="1"/>
      <c r="Y43" s="68">
        <f t="shared" si="13"/>
        <v>0</v>
      </c>
      <c r="Z43" s="69">
        <f t="shared" si="14"/>
        <v>0</v>
      </c>
      <c r="AA43" s="70">
        <f t="shared" si="15"/>
        <v>0</v>
      </c>
      <c r="AB43" s="69">
        <f t="shared" si="16"/>
        <v>0</v>
      </c>
    </row>
    <row r="44" spans="1:29">
      <c r="A44" s="410"/>
      <c r="B44" s="418"/>
      <c r="C44" s="413"/>
      <c r="D44" s="413"/>
      <c r="E44" s="413"/>
      <c r="F44" s="419"/>
      <c r="G44" s="421"/>
      <c r="H44" s="168">
        <f t="shared" si="1"/>
        <v>0</v>
      </c>
      <c r="I44" s="348">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5">
        <f t="shared" si="12"/>
        <v>0</v>
      </c>
      <c r="U44" s="220"/>
      <c r="V44" s="220"/>
      <c r="W44" s="1"/>
      <c r="Y44" s="68">
        <f t="shared" si="13"/>
        <v>0</v>
      </c>
      <c r="Z44" s="69">
        <f t="shared" si="14"/>
        <v>0</v>
      </c>
      <c r="AA44" s="70">
        <f t="shared" si="15"/>
        <v>0</v>
      </c>
      <c r="AB44" s="69">
        <f t="shared" si="16"/>
        <v>0</v>
      </c>
    </row>
    <row r="45" spans="1:29">
      <c r="A45" s="410"/>
      <c r="B45" s="418"/>
      <c r="C45" s="413"/>
      <c r="D45" s="413"/>
      <c r="E45" s="413"/>
      <c r="F45" s="419"/>
      <c r="G45" s="421"/>
      <c r="H45" s="168">
        <f t="shared" si="1"/>
        <v>0</v>
      </c>
      <c r="I45" s="348">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5">
        <f t="shared" si="12"/>
        <v>0</v>
      </c>
      <c r="U45" s="220"/>
      <c r="V45" s="220"/>
      <c r="W45" s="1"/>
      <c r="Y45" s="68">
        <f t="shared" si="13"/>
        <v>0</v>
      </c>
      <c r="Z45" s="69">
        <f t="shared" si="14"/>
        <v>0</v>
      </c>
      <c r="AA45" s="70">
        <f t="shared" si="15"/>
        <v>0</v>
      </c>
      <c r="AB45" s="69">
        <f t="shared" si="16"/>
        <v>0</v>
      </c>
    </row>
    <row r="46" spans="1:29">
      <c r="A46" s="410"/>
      <c r="B46" s="418"/>
      <c r="C46" s="413"/>
      <c r="D46" s="413"/>
      <c r="E46" s="413"/>
      <c r="F46" s="419"/>
      <c r="G46" s="421"/>
      <c r="H46" s="168">
        <f t="shared" si="1"/>
        <v>0</v>
      </c>
      <c r="I46" s="348">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5">
        <f t="shared" si="12"/>
        <v>0</v>
      </c>
      <c r="U46" s="220"/>
      <c r="V46" s="220"/>
      <c r="W46" s="1"/>
      <c r="Y46" s="68">
        <f t="shared" si="13"/>
        <v>0</v>
      </c>
      <c r="Z46" s="69">
        <f t="shared" si="14"/>
        <v>0</v>
      </c>
      <c r="AA46" s="70">
        <f t="shared" si="15"/>
        <v>0</v>
      </c>
      <c r="AB46" s="69">
        <f t="shared" si="16"/>
        <v>0</v>
      </c>
    </row>
    <row r="47" spans="1:29">
      <c r="A47" s="410"/>
      <c r="B47" s="418"/>
      <c r="C47" s="413"/>
      <c r="D47" s="413"/>
      <c r="E47" s="413"/>
      <c r="F47" s="419"/>
      <c r="G47" s="421"/>
      <c r="H47" s="168">
        <f t="shared" si="1"/>
        <v>0</v>
      </c>
      <c r="I47" s="348">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5">
        <f t="shared" si="12"/>
        <v>0</v>
      </c>
      <c r="U47" s="220"/>
      <c r="V47" s="220"/>
      <c r="W47" s="1"/>
      <c r="Y47" s="68">
        <f t="shared" si="13"/>
        <v>0</v>
      </c>
      <c r="Z47" s="69">
        <f t="shared" si="14"/>
        <v>0</v>
      </c>
      <c r="AA47" s="70">
        <f t="shared" si="15"/>
        <v>0</v>
      </c>
      <c r="AB47" s="69">
        <f t="shared" si="16"/>
        <v>0</v>
      </c>
    </row>
    <row r="48" spans="1:29">
      <c r="A48" s="410"/>
      <c r="B48" s="418"/>
      <c r="C48" s="413"/>
      <c r="D48" s="413"/>
      <c r="E48" s="413"/>
      <c r="F48" s="419"/>
      <c r="G48" s="421"/>
      <c r="H48" s="168">
        <f t="shared" si="1"/>
        <v>0</v>
      </c>
      <c r="I48" s="348">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5">
        <f t="shared" si="12"/>
        <v>0</v>
      </c>
      <c r="U48" s="220"/>
      <c r="V48" s="220"/>
      <c r="W48" s="1"/>
      <c r="Y48" s="68">
        <f t="shared" si="13"/>
        <v>0</v>
      </c>
      <c r="Z48" s="69">
        <f t="shared" si="14"/>
        <v>0</v>
      </c>
      <c r="AA48" s="70">
        <f t="shared" si="15"/>
        <v>0</v>
      </c>
      <c r="AB48" s="69">
        <f t="shared" si="16"/>
        <v>0</v>
      </c>
    </row>
    <row r="49" spans="1:30">
      <c r="A49" s="410"/>
      <c r="B49" s="418"/>
      <c r="C49" s="422"/>
      <c r="D49" s="422"/>
      <c r="E49" s="413"/>
      <c r="F49" s="419"/>
      <c r="G49" s="421"/>
      <c r="H49" s="168">
        <f t="shared" si="1"/>
        <v>0</v>
      </c>
      <c r="I49" s="348">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5">
        <f t="shared" si="12"/>
        <v>0</v>
      </c>
      <c r="U49" s="220"/>
      <c r="V49" s="220"/>
      <c r="W49" s="1"/>
      <c r="Y49" s="68">
        <f t="shared" si="13"/>
        <v>0</v>
      </c>
      <c r="Z49" s="69">
        <f t="shared" si="14"/>
        <v>0</v>
      </c>
      <c r="AA49" s="70">
        <f t="shared" si="15"/>
        <v>0</v>
      </c>
      <c r="AB49" s="69">
        <f t="shared" si="16"/>
        <v>0</v>
      </c>
    </row>
    <row r="50" spans="1:30">
      <c r="A50" s="410"/>
      <c r="B50" s="418"/>
      <c r="C50" s="422"/>
      <c r="D50" s="422"/>
      <c r="E50" s="413"/>
      <c r="F50" s="419"/>
      <c r="G50" s="421"/>
      <c r="H50" s="168">
        <f t="shared" si="1"/>
        <v>0</v>
      </c>
      <c r="I50" s="348">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5">
        <f t="shared" si="12"/>
        <v>0</v>
      </c>
      <c r="U50" s="220"/>
      <c r="V50" s="220"/>
      <c r="W50" s="1"/>
      <c r="Y50" s="68">
        <f t="shared" si="13"/>
        <v>0</v>
      </c>
      <c r="Z50" s="69">
        <f t="shared" si="14"/>
        <v>0</v>
      </c>
      <c r="AA50" s="70">
        <f t="shared" si="15"/>
        <v>0</v>
      </c>
      <c r="AB50" s="69">
        <f t="shared" si="16"/>
        <v>0</v>
      </c>
    </row>
    <row r="51" spans="1:30">
      <c r="A51" s="410"/>
      <c r="B51" s="418"/>
      <c r="C51" s="422"/>
      <c r="D51" s="422"/>
      <c r="E51" s="413"/>
      <c r="F51" s="419"/>
      <c r="G51" s="421"/>
      <c r="H51" s="168">
        <f t="shared" si="1"/>
        <v>0</v>
      </c>
      <c r="I51" s="348">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5">
        <f t="shared" si="12"/>
        <v>0</v>
      </c>
      <c r="U51" s="220"/>
      <c r="V51" s="220"/>
      <c r="W51" s="1"/>
      <c r="Y51" s="68">
        <f t="shared" si="13"/>
        <v>0</v>
      </c>
      <c r="Z51" s="69">
        <f t="shared" si="14"/>
        <v>0</v>
      </c>
      <c r="AA51" s="70">
        <f t="shared" si="15"/>
        <v>0</v>
      </c>
      <c r="AB51" s="69">
        <f t="shared" si="16"/>
        <v>0</v>
      </c>
    </row>
    <row r="52" spans="1:30">
      <c r="A52" s="410"/>
      <c r="B52" s="418"/>
      <c r="C52" s="422"/>
      <c r="D52" s="422"/>
      <c r="E52" s="413"/>
      <c r="F52" s="419"/>
      <c r="G52" s="421"/>
      <c r="H52" s="168">
        <f t="shared" si="1"/>
        <v>0</v>
      </c>
      <c r="I52" s="348">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5">
        <f t="shared" si="12"/>
        <v>0</v>
      </c>
      <c r="U52" s="220"/>
      <c r="V52" s="220"/>
      <c r="W52" s="1"/>
      <c r="Y52" s="68">
        <f t="shared" si="13"/>
        <v>0</v>
      </c>
      <c r="Z52" s="69">
        <f t="shared" si="14"/>
        <v>0</v>
      </c>
      <c r="AA52" s="70">
        <f t="shared" si="15"/>
        <v>0</v>
      </c>
      <c r="AB52" s="69">
        <f t="shared" si="16"/>
        <v>0</v>
      </c>
    </row>
    <row r="53" spans="1:30">
      <c r="A53" s="410"/>
      <c r="B53" s="418"/>
      <c r="C53" s="422"/>
      <c r="D53" s="422"/>
      <c r="E53" s="413"/>
      <c r="F53" s="419"/>
      <c r="G53" s="421"/>
      <c r="H53" s="168">
        <f t="shared" si="1"/>
        <v>0</v>
      </c>
      <c r="I53" s="348">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5">
        <f t="shared" si="12"/>
        <v>0</v>
      </c>
      <c r="U53" s="220"/>
      <c r="V53" s="220"/>
      <c r="W53" s="1"/>
      <c r="Y53" s="68">
        <f t="shared" si="13"/>
        <v>0</v>
      </c>
      <c r="Z53" s="69">
        <f t="shared" si="14"/>
        <v>0</v>
      </c>
      <c r="AA53" s="70">
        <f t="shared" si="15"/>
        <v>0</v>
      </c>
      <c r="AB53" s="69">
        <f t="shared" si="16"/>
        <v>0</v>
      </c>
    </row>
    <row r="54" spans="1:30">
      <c r="A54" s="410"/>
      <c r="B54" s="418"/>
      <c r="C54" s="422"/>
      <c r="D54" s="422"/>
      <c r="E54" s="413"/>
      <c r="F54" s="419"/>
      <c r="G54" s="421"/>
      <c r="H54" s="168">
        <f t="shared" si="1"/>
        <v>0</v>
      </c>
      <c r="I54" s="348">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5">
        <f t="shared" si="12"/>
        <v>0</v>
      </c>
      <c r="U54" s="220"/>
      <c r="V54" s="220"/>
      <c r="W54" s="1"/>
      <c r="Y54" s="68">
        <f t="shared" si="13"/>
        <v>0</v>
      </c>
      <c r="Z54" s="69">
        <f t="shared" si="14"/>
        <v>0</v>
      </c>
      <c r="AA54" s="70">
        <f t="shared" si="15"/>
        <v>0</v>
      </c>
      <c r="AB54" s="69">
        <f t="shared" si="16"/>
        <v>0</v>
      </c>
    </row>
    <row r="55" spans="1:30">
      <c r="A55" s="410"/>
      <c r="B55" s="418"/>
      <c r="C55" s="422"/>
      <c r="D55" s="422"/>
      <c r="E55" s="413"/>
      <c r="F55" s="419"/>
      <c r="G55" s="421"/>
      <c r="H55" s="168">
        <f t="shared" si="1"/>
        <v>0</v>
      </c>
      <c r="I55" s="348">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5">
        <f t="shared" si="12"/>
        <v>0</v>
      </c>
      <c r="U55" s="220"/>
      <c r="V55" s="220"/>
      <c r="W55" s="1"/>
      <c r="Y55" s="68">
        <f t="shared" si="13"/>
        <v>0</v>
      </c>
      <c r="Z55" s="69">
        <f t="shared" si="14"/>
        <v>0</v>
      </c>
      <c r="AA55" s="70">
        <f t="shared" si="15"/>
        <v>0</v>
      </c>
      <c r="AB55" s="69">
        <f t="shared" si="16"/>
        <v>0</v>
      </c>
    </row>
    <row r="56" spans="1:30">
      <c r="A56" s="410"/>
      <c r="B56" s="418"/>
      <c r="C56" s="422"/>
      <c r="D56" s="422"/>
      <c r="E56" s="413"/>
      <c r="F56" s="419"/>
      <c r="G56" s="421"/>
      <c r="H56" s="168">
        <f t="shared" si="1"/>
        <v>0</v>
      </c>
      <c r="I56" s="348">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5">
        <f t="shared" si="12"/>
        <v>0</v>
      </c>
      <c r="U56" s="220"/>
      <c r="V56" s="220"/>
      <c r="W56" s="1"/>
      <c r="Y56" s="68">
        <f t="shared" si="13"/>
        <v>0</v>
      </c>
      <c r="Z56" s="69">
        <f t="shared" si="14"/>
        <v>0</v>
      </c>
      <c r="AA56" s="70">
        <f t="shared" si="15"/>
        <v>0</v>
      </c>
      <c r="AB56" s="69">
        <f t="shared" si="16"/>
        <v>0</v>
      </c>
    </row>
    <row r="57" spans="1:30">
      <c r="A57" s="410"/>
      <c r="B57" s="418"/>
      <c r="C57" s="422"/>
      <c r="D57" s="422"/>
      <c r="E57" s="413"/>
      <c r="F57" s="419"/>
      <c r="G57" s="421"/>
      <c r="H57" s="168">
        <f t="shared" si="1"/>
        <v>0</v>
      </c>
      <c r="I57" s="348">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5">
        <f t="shared" si="12"/>
        <v>0</v>
      </c>
      <c r="U57" s="220"/>
      <c r="V57" s="220"/>
      <c r="W57" s="1"/>
      <c r="Y57" s="68">
        <f t="shared" si="13"/>
        <v>0</v>
      </c>
      <c r="Z57" s="69">
        <f t="shared" si="14"/>
        <v>0</v>
      </c>
      <c r="AA57" s="70">
        <f t="shared" si="15"/>
        <v>0</v>
      </c>
      <c r="AB57" s="69">
        <f t="shared" si="16"/>
        <v>0</v>
      </c>
    </row>
    <row r="58" spans="1:30">
      <c r="A58" s="410"/>
      <c r="B58" s="418"/>
      <c r="C58" s="422"/>
      <c r="D58" s="422"/>
      <c r="E58" s="413"/>
      <c r="F58" s="419"/>
      <c r="G58" s="421"/>
      <c r="H58" s="168">
        <f t="shared" si="1"/>
        <v>0</v>
      </c>
      <c r="I58" s="348">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5">
        <f t="shared" si="12"/>
        <v>0</v>
      </c>
      <c r="U58" s="220"/>
      <c r="V58" s="220"/>
      <c r="W58" s="1"/>
      <c r="Y58" s="68">
        <f t="shared" si="13"/>
        <v>0</v>
      </c>
      <c r="Z58" s="69">
        <f t="shared" si="14"/>
        <v>0</v>
      </c>
      <c r="AA58" s="70">
        <f t="shared" si="15"/>
        <v>0</v>
      </c>
      <c r="AB58" s="69">
        <f t="shared" si="16"/>
        <v>0</v>
      </c>
    </row>
    <row r="59" spans="1:30">
      <c r="A59" s="410"/>
      <c r="B59" s="418"/>
      <c r="C59" s="422"/>
      <c r="D59" s="422"/>
      <c r="E59" s="413"/>
      <c r="F59" s="419"/>
      <c r="G59" s="421"/>
      <c r="H59" s="168">
        <f t="shared" si="1"/>
        <v>0</v>
      </c>
      <c r="I59" s="348">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5">
        <f t="shared" si="12"/>
        <v>0</v>
      </c>
      <c r="U59" s="220"/>
      <c r="V59" s="220"/>
      <c r="W59" s="1"/>
      <c r="Y59" s="68">
        <f t="shared" si="13"/>
        <v>0</v>
      </c>
      <c r="Z59" s="69">
        <f t="shared" si="14"/>
        <v>0</v>
      </c>
      <c r="AA59" s="70">
        <f t="shared" si="15"/>
        <v>0</v>
      </c>
      <c r="AB59" s="69">
        <f t="shared" si="16"/>
        <v>0</v>
      </c>
      <c r="AD59" s="158"/>
    </row>
    <row r="60" spans="1:30">
      <c r="A60" s="410"/>
      <c r="B60" s="418"/>
      <c r="C60" s="422"/>
      <c r="D60" s="422"/>
      <c r="E60" s="413"/>
      <c r="F60" s="419"/>
      <c r="G60" s="421"/>
      <c r="H60" s="168">
        <f t="shared" si="1"/>
        <v>0</v>
      </c>
      <c r="I60" s="348">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5">
        <f t="shared" si="12"/>
        <v>0</v>
      </c>
      <c r="U60" s="220"/>
      <c r="V60" s="220"/>
      <c r="W60" s="1"/>
      <c r="Y60" s="68">
        <f t="shared" si="13"/>
        <v>0</v>
      </c>
      <c r="Z60" s="69">
        <f t="shared" si="14"/>
        <v>0</v>
      </c>
      <c r="AA60" s="70">
        <f t="shared" si="15"/>
        <v>0</v>
      </c>
      <c r="AB60" s="69">
        <f t="shared" si="16"/>
        <v>0</v>
      </c>
      <c r="AD60" s="158"/>
    </row>
    <row r="61" spans="1:30" ht="13" thickBot="1">
      <c r="A61" s="410"/>
      <c r="B61" s="418"/>
      <c r="C61" s="422"/>
      <c r="D61" s="422"/>
      <c r="E61" s="413"/>
      <c r="F61" s="419"/>
      <c r="G61" s="421"/>
      <c r="H61" s="168">
        <f t="shared" si="1"/>
        <v>0</v>
      </c>
      <c r="I61" s="348">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5">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6"/>
      <c r="G62" s="157"/>
      <c r="H62" s="347">
        <f t="shared" ref="H62:N62" si="17">SUM(H42:H61)</f>
        <v>0</v>
      </c>
      <c r="I62" s="349">
        <f t="shared" si="17"/>
        <v>0</v>
      </c>
      <c r="J62" s="350">
        <f t="shared" si="17"/>
        <v>0</v>
      </c>
      <c r="K62" s="351">
        <f t="shared" si="17"/>
        <v>0</v>
      </c>
      <c r="L62" s="351">
        <f t="shared" si="17"/>
        <v>0</v>
      </c>
      <c r="M62" s="349">
        <f t="shared" si="17"/>
        <v>0</v>
      </c>
      <c r="N62" s="352">
        <f t="shared" si="17"/>
        <v>0</v>
      </c>
      <c r="O62" s="134"/>
      <c r="P62" s="139">
        <f>ROUND(SUM(P42:P61),2)</f>
        <v>0</v>
      </c>
      <c r="Q62" s="140">
        <f>ROUND(SUM(Q42:Q61),2)</f>
        <v>0</v>
      </c>
      <c r="R62" s="140">
        <f>ROUND(SUM(R42:R61),2)</f>
        <v>0</v>
      </c>
      <c r="S62" s="283">
        <f>ROUND(SUM(S42:S61),2)</f>
        <v>0</v>
      </c>
      <c r="T62" s="284">
        <f>SUM(T42:T61)</f>
        <v>0</v>
      </c>
      <c r="U62" s="221"/>
      <c r="V62" s="221"/>
      <c r="Y62" s="69">
        <f>SUM(Y42:Y61)</f>
        <v>0</v>
      </c>
      <c r="Z62" s="69">
        <f>SUM(Z42:Z61)</f>
        <v>0</v>
      </c>
      <c r="AA62" s="69">
        <f>SUM(AA42:AA61)</f>
        <v>0</v>
      </c>
      <c r="AB62" s="69">
        <f>SUM(AB42:AB61)</f>
        <v>0</v>
      </c>
      <c r="AD62" s="158"/>
    </row>
    <row r="63" spans="1:30">
      <c r="A63" s="264" t="s">
        <v>81</v>
      </c>
      <c r="B63" s="334"/>
      <c r="C63" s="334"/>
      <c r="D63" s="334"/>
      <c r="E63" s="334"/>
      <c r="F63" s="334"/>
      <c r="G63" s="334"/>
      <c r="H63" s="334"/>
      <c r="I63" s="334"/>
      <c r="J63" s="334"/>
      <c r="K63" s="334"/>
      <c r="L63" s="334"/>
      <c r="M63" s="334"/>
      <c r="N63" s="334"/>
      <c r="O63" s="334"/>
      <c r="P63" s="221"/>
      <c r="Q63" s="221"/>
      <c r="R63" s="221"/>
      <c r="S63" s="221"/>
      <c r="T63" s="221"/>
      <c r="U63" s="221"/>
      <c r="V63" s="221"/>
      <c r="Y63" s="223"/>
      <c r="Z63" s="223"/>
      <c r="AA63" s="223"/>
      <c r="AB63" s="223"/>
      <c r="AD63" s="158"/>
    </row>
    <row r="64" spans="1:30">
      <c r="A64" s="53" t="s">
        <v>73</v>
      </c>
      <c r="B64" s="335"/>
      <c r="C64" s="336"/>
      <c r="D64" s="336"/>
      <c r="E64" s="337"/>
      <c r="F64" s="337"/>
      <c r="G64" s="337"/>
      <c r="H64" s="338"/>
      <c r="I64" s="339"/>
      <c r="J64" s="339"/>
      <c r="K64" s="339"/>
      <c r="L64" s="339"/>
      <c r="M64" s="339"/>
      <c r="N64" s="339"/>
      <c r="O64" s="134"/>
      <c r="P64" s="241"/>
      <c r="Q64" s="221"/>
      <c r="R64" s="332"/>
      <c r="S64" s="332"/>
      <c r="T64" s="221"/>
      <c r="U64" s="221"/>
      <c r="V64" s="221"/>
      <c r="Y64" s="223"/>
      <c r="Z64" s="223"/>
      <c r="AA64" s="223"/>
      <c r="AB64" s="223"/>
      <c r="AD64" s="158"/>
    </row>
    <row r="65" spans="1:33">
      <c r="A65" s="644"/>
      <c r="B65" s="682"/>
      <c r="C65" s="682"/>
      <c r="D65" s="682"/>
      <c r="E65" s="682"/>
      <c r="F65" s="682"/>
      <c r="G65" s="682"/>
      <c r="H65" s="682"/>
      <c r="I65" s="682"/>
      <c r="J65" s="682"/>
      <c r="K65" s="682"/>
      <c r="L65" s="682"/>
      <c r="M65" s="682"/>
      <c r="N65" s="683"/>
      <c r="O65" s="134"/>
      <c r="P65" s="241" t="s">
        <v>105</v>
      </c>
      <c r="Q65" s="287"/>
      <c r="R65" s="621"/>
      <c r="S65" s="622"/>
      <c r="T65" s="623"/>
      <c r="U65" s="221"/>
      <c r="V65" s="221"/>
      <c r="Y65" s="223"/>
      <c r="Z65" s="223"/>
      <c r="AA65" s="223"/>
      <c r="AB65" s="223"/>
      <c r="AD65" s="158"/>
    </row>
    <row r="66" spans="1:33">
      <c r="A66" s="684"/>
      <c r="B66" s="684"/>
      <c r="C66" s="684"/>
      <c r="D66" s="684"/>
      <c r="E66" s="684"/>
      <c r="F66" s="684"/>
      <c r="G66" s="684"/>
      <c r="H66" s="684"/>
      <c r="I66" s="684"/>
      <c r="J66" s="684"/>
      <c r="K66" s="684"/>
      <c r="L66" s="684"/>
      <c r="M66" s="684"/>
      <c r="N66" s="685"/>
      <c r="O66" s="134"/>
      <c r="P66" s="331"/>
      <c r="Q66" s="287"/>
      <c r="R66" s="624"/>
      <c r="S66" s="625"/>
      <c r="T66" s="626"/>
      <c r="U66" s="221"/>
      <c r="V66" s="221"/>
      <c r="Y66" s="223"/>
      <c r="Z66" s="223"/>
      <c r="AA66" s="223"/>
      <c r="AB66" s="223"/>
      <c r="AD66" s="158"/>
    </row>
    <row r="67" spans="1:33">
      <c r="A67" s="686"/>
      <c r="B67" s="686"/>
      <c r="C67" s="686"/>
      <c r="D67" s="686"/>
      <c r="E67" s="686"/>
      <c r="F67" s="686"/>
      <c r="G67" s="686"/>
      <c r="H67" s="686"/>
      <c r="I67" s="686"/>
      <c r="J67" s="686"/>
      <c r="K67" s="686"/>
      <c r="L67" s="686"/>
      <c r="M67" s="686"/>
      <c r="N67" s="687"/>
      <c r="O67" s="134"/>
      <c r="P67" s="331" t="s">
        <v>104</v>
      </c>
      <c r="Q67" s="287"/>
      <c r="R67" s="627"/>
      <c r="S67" s="628"/>
      <c r="T67" s="629"/>
      <c r="U67" s="221"/>
      <c r="V67" s="221"/>
      <c r="Y67" s="223"/>
      <c r="Z67" s="223"/>
      <c r="AA67" s="223"/>
      <c r="AB67" s="223"/>
      <c r="AD67" s="158"/>
    </row>
    <row r="68" spans="1:33">
      <c r="A68" s="31"/>
      <c r="B68" s="53"/>
      <c r="C68" s="53"/>
      <c r="D68" s="53"/>
      <c r="E68" s="53"/>
      <c r="F68" s="53"/>
      <c r="G68" s="53"/>
      <c r="H68" s="222"/>
      <c r="I68" s="134"/>
      <c r="J68" s="134"/>
      <c r="K68" s="134"/>
      <c r="L68" s="134"/>
      <c r="M68" s="134"/>
      <c r="N68" s="134"/>
      <c r="O68" s="134"/>
      <c r="P68" s="221"/>
      <c r="Q68" s="221"/>
      <c r="R68" s="576" t="s">
        <v>206</v>
      </c>
      <c r="S68" s="221"/>
      <c r="T68" s="221"/>
      <c r="U68" s="221"/>
      <c r="V68" s="221"/>
      <c r="Y68" s="223"/>
      <c r="Z68" s="223"/>
      <c r="AA68" s="223"/>
      <c r="AB68" s="223"/>
    </row>
    <row r="69" spans="1:33">
      <c r="A69" s="31"/>
      <c r="B69" s="53"/>
      <c r="C69" s="53"/>
      <c r="D69" s="53"/>
      <c r="E69" s="53"/>
      <c r="F69" s="53"/>
      <c r="G69" s="53"/>
      <c r="H69" s="222"/>
      <c r="I69" s="134"/>
      <c r="J69" s="134"/>
      <c r="K69" s="134"/>
      <c r="L69" s="134"/>
      <c r="M69" s="134"/>
      <c r="N69" s="134"/>
      <c r="O69" s="134"/>
      <c r="P69" s="221"/>
      <c r="Q69" s="221"/>
      <c r="R69" s="577" t="s">
        <v>207</v>
      </c>
      <c r="S69" s="221"/>
      <c r="T69" s="221"/>
      <c r="U69" s="221"/>
      <c r="V69" s="221"/>
      <c r="Y69" s="223"/>
      <c r="Z69" s="223"/>
      <c r="AA69" s="223"/>
      <c r="AB69" s="223"/>
    </row>
    <row r="70" spans="1:33">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3">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3">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3">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3">
      <c r="A74" s="31"/>
      <c r="B74" s="53"/>
      <c r="C74" s="53"/>
      <c r="D74" s="53"/>
      <c r="E74" s="53"/>
      <c r="F74" s="53"/>
      <c r="G74" s="53"/>
      <c r="H74" s="222"/>
      <c r="I74" s="134"/>
      <c r="J74" s="134"/>
      <c r="K74" s="134"/>
      <c r="L74" s="564"/>
      <c r="M74" s="134"/>
      <c r="N74" s="134"/>
      <c r="O74" s="134"/>
      <c r="P74" s="221"/>
      <c r="Q74" s="221"/>
      <c r="R74" s="221"/>
      <c r="S74" s="221"/>
      <c r="T74" s="221"/>
      <c r="U74" s="221"/>
      <c r="V74" s="221"/>
      <c r="Y74" s="223"/>
      <c r="Z74" s="223"/>
      <c r="AA74" s="223"/>
      <c r="AB74" s="223"/>
    </row>
    <row r="75" spans="1:33">
      <c r="A75" s="31"/>
      <c r="B75" s="53"/>
      <c r="C75" s="53"/>
      <c r="D75" s="53"/>
      <c r="E75" s="53"/>
      <c r="F75" s="53"/>
      <c r="G75" s="53"/>
      <c r="H75" s="222"/>
      <c r="I75" s="134"/>
      <c r="J75" s="134"/>
      <c r="K75" s="134"/>
      <c r="L75" s="564"/>
      <c r="M75" s="134"/>
      <c r="N75" s="134"/>
      <c r="O75" s="134"/>
      <c r="P75" s="221"/>
      <c r="Q75" s="221"/>
      <c r="R75" s="221"/>
      <c r="S75" s="221"/>
      <c r="T75" s="221"/>
      <c r="U75" s="221"/>
      <c r="V75" s="221"/>
      <c r="Y75" s="223"/>
      <c r="Z75" s="223"/>
      <c r="AA75" s="223"/>
      <c r="AB75" s="223"/>
    </row>
    <row r="76" spans="1:33">
      <c r="A76" s="31"/>
      <c r="B76" s="53"/>
      <c r="C76" s="53"/>
      <c r="D76" s="53"/>
      <c r="E76" s="53"/>
      <c r="F76" s="53"/>
      <c r="G76" s="53"/>
      <c r="H76" s="222"/>
      <c r="I76" s="134"/>
      <c r="J76" s="134"/>
      <c r="K76" s="134"/>
      <c r="L76" s="564"/>
      <c r="M76" s="134"/>
      <c r="N76" s="134"/>
      <c r="O76" s="134"/>
      <c r="P76" s="221"/>
      <c r="Q76" s="221"/>
      <c r="R76" s="221"/>
      <c r="S76" s="221"/>
      <c r="T76" s="221"/>
      <c r="U76" s="221"/>
      <c r="V76" s="221"/>
      <c r="Y76" s="223"/>
      <c r="Z76" s="223"/>
      <c r="AA76" s="223"/>
      <c r="AB76" s="223"/>
    </row>
    <row r="77" spans="1:33" ht="13" hidden="1" thickBot="1">
      <c r="G77" s="158"/>
      <c r="I77" s="380" t="s">
        <v>201</v>
      </c>
      <c r="J77" t="s">
        <v>202</v>
      </c>
      <c r="K77" t="s">
        <v>203</v>
      </c>
      <c r="L77" t="s">
        <v>200</v>
      </c>
      <c r="M77" t="s">
        <v>204</v>
      </c>
      <c r="X77" s="82"/>
      <c r="Y77" s="82"/>
      <c r="Z77" s="82"/>
      <c r="AA77" s="82"/>
      <c r="AB77" s="82"/>
    </row>
    <row r="78" spans="1:33" ht="13" hidden="1" thickBot="1">
      <c r="B78" s="74" t="s">
        <v>13</v>
      </c>
      <c r="C78" s="77"/>
      <c r="D78" s="77"/>
      <c r="E78" s="14" t="s">
        <v>10</v>
      </c>
      <c r="F78" s="129"/>
      <c r="G78" s="129"/>
      <c r="H78" s="129"/>
      <c r="I78" s="129"/>
      <c r="J78" s="569">
        <f>J38</f>
        <v>0</v>
      </c>
      <c r="K78" s="569">
        <f>K38</f>
        <v>0</v>
      </c>
      <c r="L78" s="569">
        <f>L38</f>
        <v>0</v>
      </c>
      <c r="M78" s="156">
        <f>M38</f>
        <v>0</v>
      </c>
      <c r="N78" s="67">
        <f t="shared" ref="N78:N98" si="18">SUM(J78:M78)</f>
        <v>0</v>
      </c>
      <c r="O78" s="134"/>
      <c r="P78" s="568"/>
      <c r="Q78" s="134"/>
      <c r="R78" s="218"/>
      <c r="S78" s="134"/>
      <c r="T78" s="134"/>
      <c r="U78" s="134"/>
      <c r="V78" s="134"/>
      <c r="X78" s="95"/>
      <c r="Y78" s="35"/>
      <c r="Z78" s="35"/>
      <c r="AA78" s="35"/>
      <c r="AB78" s="79"/>
      <c r="AG78" s="71"/>
    </row>
    <row r="79" spans="1:33"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3"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6"/>
      <c r="Y87" s="357"/>
      <c r="Z87" s="31"/>
      <c r="AA87" s="358"/>
      <c r="AB87" s="359"/>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6"/>
      <c r="Y88" s="357"/>
      <c r="Z88" s="31"/>
      <c r="AA88" s="358"/>
      <c r="AB88" s="359"/>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6"/>
      <c r="Y89" s="357"/>
      <c r="Z89" s="31"/>
      <c r="AA89" s="358"/>
      <c r="AB89" s="359"/>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6"/>
      <c r="Y90" s="357"/>
      <c r="Z90" s="31"/>
      <c r="AA90" s="358"/>
      <c r="AB90" s="359"/>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6"/>
      <c r="Y91" s="357"/>
      <c r="Z91" s="31"/>
      <c r="AA91" s="358"/>
      <c r="AB91" s="359"/>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6"/>
      <c r="Y92" s="357"/>
      <c r="Z92" s="31"/>
      <c r="AA92" s="358"/>
      <c r="AB92" s="359"/>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6"/>
      <c r="Y93" s="357"/>
      <c r="Z93" s="31"/>
      <c r="AA93" s="358"/>
      <c r="AB93" s="359"/>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6"/>
      <c r="Y94" s="357"/>
      <c r="Z94" s="31"/>
      <c r="AA94" s="358"/>
      <c r="AB94" s="359"/>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6"/>
      <c r="Y95" s="357"/>
      <c r="Z95" s="31"/>
      <c r="AA95" s="358"/>
      <c r="AB95" s="359"/>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6"/>
      <c r="Y96" s="357"/>
      <c r="Z96" s="31"/>
      <c r="AA96" s="358"/>
      <c r="AB96" s="359"/>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6"/>
      <c r="Y97" s="357"/>
      <c r="Z97" s="31"/>
      <c r="AA97" s="358"/>
      <c r="AB97" s="359"/>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sheetData>
  <sheetProtection password="C7E2" sheet="1" objects="1" scenarios="1"/>
  <mergeCells count="50">
    <mergeCell ref="AN18:AN21"/>
    <mergeCell ref="AF23:AN23"/>
    <mergeCell ref="AF24:AN24"/>
    <mergeCell ref="AF25:AN25"/>
    <mergeCell ref="AF18:AG21"/>
    <mergeCell ref="AH18:AJ21"/>
    <mergeCell ref="AK18:AK21"/>
    <mergeCell ref="AL18:AL21"/>
    <mergeCell ref="AM18:AM21"/>
    <mergeCell ref="AN12:AN14"/>
    <mergeCell ref="AF15:AG17"/>
    <mergeCell ref="AH15:AJ17"/>
    <mergeCell ref="AK15:AK17"/>
    <mergeCell ref="AL15:AL17"/>
    <mergeCell ref="AM15:AM17"/>
    <mergeCell ref="AN15:AN17"/>
    <mergeCell ref="AF12:AG14"/>
    <mergeCell ref="AH12:AJ14"/>
    <mergeCell ref="AK12:AK14"/>
    <mergeCell ref="AL12:AL14"/>
    <mergeCell ref="AM12:AM14"/>
    <mergeCell ref="AN4:AN8"/>
    <mergeCell ref="AF9:AG11"/>
    <mergeCell ref="AH9:AJ11"/>
    <mergeCell ref="AK9:AK11"/>
    <mergeCell ref="AL9:AL11"/>
    <mergeCell ref="AM9:AM11"/>
    <mergeCell ref="AN9:AN11"/>
    <mergeCell ref="AF4:AG8"/>
    <mergeCell ref="AH4:AJ8"/>
    <mergeCell ref="AK4:AK8"/>
    <mergeCell ref="AL4:AL8"/>
    <mergeCell ref="AM4:AM8"/>
    <mergeCell ref="AF1:AN1"/>
    <mergeCell ref="AF2:AG3"/>
    <mergeCell ref="AH2:AJ3"/>
    <mergeCell ref="AK2:AK3"/>
    <mergeCell ref="AL2:AL3"/>
    <mergeCell ref="AM2:AM3"/>
    <mergeCell ref="AN2:AN3"/>
    <mergeCell ref="Z21:AB21"/>
    <mergeCell ref="X21:Y21"/>
    <mergeCell ref="D9:G10"/>
    <mergeCell ref="D11:G12"/>
    <mergeCell ref="D7:E8"/>
    <mergeCell ref="A65:N67"/>
    <mergeCell ref="D20:F21"/>
    <mergeCell ref="R65:T65"/>
    <mergeCell ref="R66:T67"/>
    <mergeCell ref="D2:L2"/>
  </mergeCells>
  <phoneticPr fontId="0" type="noConversion"/>
  <conditionalFormatting sqref="N21">
    <cfRule type="cellIs" dxfId="0"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operator="greaterThanOrEqual" allowBlank="1" showInputMessage="1" showErrorMessage="1" errorTitle="Prof base" error="The minimum base salary for above scale rates is $181,700._x000a_If approved base is below this number, use the regular or offscale calculation sheet." sqref="E35">
      <formula1>181700</formula1>
    </dataValidation>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A63" location="GenlInstr!F11" display="GenlInstr!F11"/>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9"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F9" sqref="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11" ht="50" customHeight="1">
      <c r="A1" s="697" t="s">
        <v>40</v>
      </c>
      <c r="B1" s="697"/>
      <c r="C1" s="697"/>
      <c r="D1" s="697"/>
      <c r="E1" s="697"/>
      <c r="F1" s="697"/>
      <c r="G1" s="697"/>
      <c r="H1" s="259"/>
      <c r="I1" s="259"/>
      <c r="J1" s="259"/>
      <c r="K1" s="259"/>
    </row>
    <row r="2" spans="1:11" ht="45" customHeight="1">
      <c r="A2" s="289"/>
      <c r="B2" s="289"/>
      <c r="C2" s="289"/>
      <c r="D2" s="289"/>
      <c r="E2" s="289"/>
      <c r="F2" s="289"/>
      <c r="G2" s="289"/>
      <c r="H2" s="259"/>
      <c r="I2" s="259"/>
      <c r="J2" s="259"/>
      <c r="K2" s="259"/>
    </row>
    <row r="3" spans="1:11" s="35" customFormat="1" ht="30" customHeight="1">
      <c r="A3" s="289"/>
      <c r="B3" s="289"/>
      <c r="C3" s="289"/>
      <c r="D3" s="289"/>
      <c r="E3" s="289"/>
      <c r="F3" s="289"/>
      <c r="G3" s="289"/>
      <c r="H3" s="290"/>
      <c r="I3" s="290"/>
      <c r="J3" s="290"/>
      <c r="K3" s="290"/>
    </row>
    <row r="4" spans="1:11" s="294" customFormat="1" ht="120" customHeight="1">
      <c r="A4" s="291"/>
      <c r="B4" s="291" t="s">
        <v>92</v>
      </c>
      <c r="C4" s="291"/>
      <c r="D4" s="291" t="s">
        <v>97</v>
      </c>
      <c r="E4" s="292"/>
      <c r="F4" s="291" t="s">
        <v>90</v>
      </c>
      <c r="G4" s="292"/>
      <c r="H4" s="293"/>
      <c r="I4" s="293"/>
      <c r="J4" s="293"/>
      <c r="K4" s="293"/>
    </row>
    <row r="5" spans="1:11" ht="2" customHeight="1">
      <c r="A5" s="295"/>
      <c r="B5" s="702"/>
      <c r="C5" s="697"/>
      <c r="D5" s="697"/>
      <c r="E5" s="697"/>
      <c r="F5" s="697"/>
      <c r="G5" s="296"/>
      <c r="H5" s="258"/>
      <c r="I5" s="258"/>
      <c r="J5" s="258"/>
      <c r="K5" s="258"/>
    </row>
    <row r="6" spans="1:11" ht="12" customHeight="1">
      <c r="A6" s="295"/>
      <c r="B6" s="288"/>
      <c r="C6" s="289"/>
      <c r="D6" s="289"/>
      <c r="E6" s="289"/>
      <c r="F6" s="700"/>
      <c r="G6" s="296"/>
      <c r="H6" s="258"/>
      <c r="I6" s="258"/>
      <c r="J6" s="258"/>
      <c r="K6" s="258"/>
    </row>
    <row r="7" spans="1:11" ht="14" customHeight="1">
      <c r="A7" s="698"/>
      <c r="B7" s="699"/>
      <c r="C7" s="297"/>
      <c r="D7" s="297"/>
      <c r="E7" s="297"/>
      <c r="F7" s="701"/>
      <c r="G7" s="298"/>
      <c r="H7" s="258"/>
      <c r="I7" s="258"/>
      <c r="J7" s="258"/>
      <c r="K7" s="258"/>
    </row>
    <row r="8" spans="1:11" ht="9.75" customHeight="1">
      <c r="A8" s="299"/>
      <c r="B8" s="300"/>
      <c r="C8" s="301"/>
      <c r="D8" s="270"/>
      <c r="E8" s="302"/>
      <c r="F8" s="270"/>
      <c r="G8" s="303"/>
      <c r="H8" s="258"/>
      <c r="I8" s="258"/>
      <c r="J8" s="258"/>
      <c r="K8" s="258"/>
    </row>
    <row r="9" spans="1:11" s="309" customFormat="1" ht="170" customHeight="1">
      <c r="A9" s="304">
        <v>1</v>
      </c>
      <c r="B9" s="342" t="s">
        <v>114</v>
      </c>
      <c r="C9" s="306">
        <v>2</v>
      </c>
      <c r="D9" s="305" t="s">
        <v>91</v>
      </c>
      <c r="E9" s="306">
        <v>3</v>
      </c>
      <c r="F9" s="370" t="s">
        <v>128</v>
      </c>
      <c r="G9" s="307"/>
      <c r="H9" s="308"/>
      <c r="I9" s="308"/>
      <c r="J9" s="308"/>
      <c r="K9" s="308"/>
    </row>
    <row r="10" spans="1:11" s="309" customFormat="1" ht="159.75" customHeight="1">
      <c r="A10" s="271">
        <v>4</v>
      </c>
      <c r="B10" s="310" t="s">
        <v>82</v>
      </c>
      <c r="C10" s="271">
        <v>5</v>
      </c>
      <c r="D10" s="381" t="s">
        <v>120</v>
      </c>
      <c r="E10" s="271">
        <v>6</v>
      </c>
      <c r="F10" s="466" t="s">
        <v>144</v>
      </c>
      <c r="G10" s="272"/>
      <c r="H10" s="311"/>
      <c r="I10" s="311"/>
      <c r="J10" s="311"/>
      <c r="K10" s="311"/>
    </row>
    <row r="11" spans="1:11" ht="264.75" customHeight="1" thickBot="1">
      <c r="A11" s="269">
        <v>7</v>
      </c>
      <c r="B11" s="375" t="s">
        <v>145</v>
      </c>
      <c r="C11" s="312">
        <v>8</v>
      </c>
      <c r="D11" s="467" t="s">
        <v>146</v>
      </c>
      <c r="E11" s="312">
        <v>9</v>
      </c>
      <c r="F11" s="333" t="s">
        <v>103</v>
      </c>
      <c r="G11" s="313"/>
      <c r="H11" s="260"/>
      <c r="I11" s="260"/>
      <c r="J11" s="260"/>
      <c r="K11" s="260"/>
    </row>
    <row r="12" spans="1:11" ht="51" thickTop="1">
      <c r="A12" s="266"/>
      <c r="B12" s="273" t="s">
        <v>150</v>
      </c>
      <c r="C12" s="314"/>
      <c r="D12" s="267"/>
      <c r="E12" s="266"/>
      <c r="F12" s="266"/>
      <c r="G12" s="266"/>
    </row>
    <row r="13" spans="1:11" ht="9.75" customHeight="1">
      <c r="A13" s="266"/>
      <c r="B13" s="273"/>
      <c r="C13" s="314"/>
      <c r="D13" s="267"/>
      <c r="E13" s="266"/>
      <c r="F13" s="266"/>
      <c r="G13" s="266"/>
    </row>
    <row r="14" spans="1:11" ht="40">
      <c r="A14" s="266"/>
      <c r="B14" s="273" t="s">
        <v>101</v>
      </c>
      <c r="C14" s="315"/>
      <c r="D14" s="695"/>
      <c r="E14" s="695"/>
      <c r="F14" s="695"/>
      <c r="G14" s="268"/>
    </row>
    <row r="15" spans="1:11" ht="9.75" customHeight="1">
      <c r="A15" s="266"/>
      <c r="B15" s="273"/>
      <c r="C15" s="315"/>
      <c r="D15" s="695"/>
      <c r="E15" s="695"/>
      <c r="F15" s="695"/>
      <c r="G15" s="268"/>
    </row>
    <row r="16" spans="1:11" ht="40">
      <c r="A16" s="266"/>
      <c r="B16" s="273" t="s">
        <v>102</v>
      </c>
      <c r="C16" s="314"/>
      <c r="D16" s="692"/>
      <c r="E16" s="692"/>
      <c r="F16" s="692"/>
      <c r="G16" s="267"/>
    </row>
    <row r="17" spans="1:7" ht="9.75" customHeight="1">
      <c r="A17" s="266"/>
      <c r="B17" s="273"/>
      <c r="C17" s="314"/>
      <c r="D17" s="330"/>
      <c r="E17" s="330"/>
      <c r="F17" s="330"/>
      <c r="G17" s="267"/>
    </row>
    <row r="18" spans="1:7" ht="40">
      <c r="A18" s="344"/>
      <c r="B18" s="345" t="s">
        <v>98</v>
      </c>
      <c r="C18" s="274"/>
      <c r="D18" s="692"/>
      <c r="E18" s="692"/>
      <c r="F18" s="692"/>
      <c r="G18" s="266"/>
    </row>
    <row r="19" spans="1:7" ht="44.25" customHeight="1">
      <c r="A19" s="266"/>
      <c r="B19" s="343"/>
      <c r="C19" s="292"/>
      <c r="D19" s="692"/>
      <c r="E19" s="692"/>
      <c r="F19" s="692"/>
      <c r="G19" s="266"/>
    </row>
    <row r="20" spans="1:7" ht="19.5" customHeight="1">
      <c r="A20" s="461" t="s">
        <v>138</v>
      </c>
      <c r="B20" s="343"/>
      <c r="C20" s="292"/>
      <c r="D20" s="330"/>
      <c r="E20" s="330"/>
      <c r="F20" s="330"/>
      <c r="G20" s="266"/>
    </row>
    <row r="21" spans="1:7" ht="63" customHeight="1">
      <c r="A21" s="696" t="s">
        <v>137</v>
      </c>
      <c r="B21" s="696"/>
      <c r="C21" s="696"/>
      <c r="D21" s="696"/>
      <c r="E21" s="696"/>
      <c r="F21" s="330"/>
      <c r="G21" s="266"/>
    </row>
    <row r="22" spans="1:7" ht="38.25" customHeight="1">
      <c r="A22" s="266"/>
      <c r="B22" s="343"/>
      <c r="C22" s="292"/>
      <c r="D22" s="330"/>
      <c r="E22" s="330"/>
      <c r="F22" s="268"/>
      <c r="G22" s="268"/>
    </row>
    <row r="23" spans="1:7" ht="36.75" customHeight="1">
      <c r="A23" s="695" t="s">
        <v>149</v>
      </c>
      <c r="B23" s="695"/>
      <c r="C23" s="695"/>
      <c r="D23" s="695"/>
      <c r="E23" s="695"/>
      <c r="F23" s="268"/>
      <c r="G23" s="268"/>
    </row>
    <row r="24" spans="1:7" ht="35.25" customHeight="1">
      <c r="A24" s="695" t="s">
        <v>108</v>
      </c>
      <c r="B24" s="695"/>
      <c r="C24" s="695"/>
      <c r="D24" s="695"/>
      <c r="E24" s="695"/>
      <c r="F24" s="266"/>
      <c r="G24" s="266"/>
    </row>
    <row r="25" spans="1:7" ht="54.75" customHeight="1">
      <c r="A25" s="692" t="s">
        <v>112</v>
      </c>
      <c r="B25" s="692"/>
      <c r="C25" s="692"/>
      <c r="D25" s="692"/>
      <c r="E25" s="692"/>
      <c r="F25" s="330"/>
      <c r="G25" s="330"/>
    </row>
    <row r="26" spans="1:7" ht="45" customHeight="1">
      <c r="A26" s="692" t="s">
        <v>109</v>
      </c>
      <c r="B26" s="692"/>
      <c r="C26" s="692"/>
      <c r="D26" s="692"/>
      <c r="E26" s="692"/>
      <c r="F26" s="266"/>
      <c r="G26" s="266"/>
    </row>
    <row r="27" spans="1:7" ht="30" customHeight="1">
      <c r="A27" s="692" t="s">
        <v>110</v>
      </c>
      <c r="B27" s="692"/>
      <c r="C27" s="692"/>
      <c r="D27" s="692"/>
      <c r="E27" s="692"/>
      <c r="F27" s="266"/>
      <c r="G27" s="266"/>
    </row>
    <row r="28" spans="1:7" ht="23.25" customHeight="1">
      <c r="A28" s="693" t="s">
        <v>111</v>
      </c>
      <c r="B28" s="693"/>
      <c r="C28" s="693"/>
      <c r="D28" s="693"/>
      <c r="E28" s="693"/>
      <c r="F28" s="266"/>
      <c r="G28" s="266"/>
    </row>
    <row r="29" spans="1:7" ht="31.5" customHeight="1">
      <c r="A29" s="694" t="s">
        <v>93</v>
      </c>
      <c r="B29" s="694"/>
      <c r="C29" s="694"/>
      <c r="D29" s="694"/>
      <c r="E29" s="694"/>
      <c r="F29" s="266"/>
      <c r="G29" s="266"/>
    </row>
    <row r="30" spans="1:7" ht="55.5" hidden="1" customHeight="1">
      <c r="A30" s="266"/>
      <c r="B30" s="266"/>
      <c r="C30" s="266"/>
      <c r="D30" s="266"/>
      <c r="E30" s="266"/>
      <c r="F30" s="266"/>
      <c r="G30" s="266"/>
    </row>
    <row r="31" spans="1:7" ht="55.5" hidden="1" customHeight="1">
      <c r="A31" s="692" t="s">
        <v>115</v>
      </c>
      <c r="B31" s="580"/>
      <c r="C31" s="580"/>
      <c r="D31" s="580"/>
      <c r="E31" s="580"/>
      <c r="F31" s="266"/>
      <c r="G31" s="266"/>
    </row>
    <row r="32" spans="1:7" ht="55.5" hidden="1" customHeight="1">
      <c r="A32" s="692" t="s">
        <v>116</v>
      </c>
      <c r="B32" s="692"/>
      <c r="C32" s="692"/>
      <c r="D32" s="692"/>
      <c r="E32" s="692"/>
      <c r="F32" s="266"/>
      <c r="G32" s="266"/>
    </row>
    <row r="33" spans="1:7" ht="55.5" customHeight="1">
      <c r="A33" s="266"/>
      <c r="B33" s="266"/>
      <c r="C33" s="266"/>
      <c r="D33" s="266"/>
      <c r="E33" s="266"/>
      <c r="F33" s="266"/>
      <c r="G33" s="266"/>
    </row>
    <row r="34" spans="1:7" s="326" customFormat="1" ht="55.5" customHeight="1"/>
    <row r="35" spans="1:7" s="326" customFormat="1" ht="55.5" customHeight="1"/>
    <row r="36" spans="1:7" s="326" customFormat="1" ht="55.5" customHeight="1"/>
    <row r="37" spans="1:7" s="326" customFormat="1" ht="55.5" customHeight="1"/>
    <row r="38" spans="1:7" s="326" customFormat="1" ht="55.5" customHeight="1"/>
    <row r="39" spans="1:7" s="326" customFormat="1"/>
  </sheetData>
  <mergeCells count="19">
    <mergeCell ref="A1:G1"/>
    <mergeCell ref="A7:B7"/>
    <mergeCell ref="F6:F7"/>
    <mergeCell ref="D19:F19"/>
    <mergeCell ref="D18:F18"/>
    <mergeCell ref="D16:F16"/>
    <mergeCell ref="D14:F14"/>
    <mergeCell ref="D15:F15"/>
    <mergeCell ref="B5:F5"/>
    <mergeCell ref="A32:E32"/>
    <mergeCell ref="A28:E28"/>
    <mergeCell ref="A29:E29"/>
    <mergeCell ref="A23:E23"/>
    <mergeCell ref="A21:E21"/>
    <mergeCell ref="A27:E27"/>
    <mergeCell ref="A26:E26"/>
    <mergeCell ref="A25:E25"/>
    <mergeCell ref="A24:E24"/>
    <mergeCell ref="A31:E31"/>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54.75" customHeight="1">
      <c r="A1" s="703"/>
      <c r="B1" s="703"/>
      <c r="C1" s="703"/>
      <c r="D1" s="703"/>
      <c r="E1" s="703"/>
      <c r="F1" s="703"/>
      <c r="G1" s="703"/>
    </row>
    <row r="2" spans="1:7" ht="53.25" customHeight="1">
      <c r="A2" s="316"/>
      <c r="B2" s="697"/>
      <c r="C2" s="697"/>
      <c r="D2" s="697"/>
      <c r="E2" s="697"/>
      <c r="F2" s="697"/>
      <c r="G2" s="289"/>
    </row>
    <row r="3" spans="1:7" ht="72.75" customHeight="1">
      <c r="A3" s="317"/>
      <c r="B3" s="706" t="s">
        <v>147</v>
      </c>
      <c r="C3" s="706"/>
      <c r="D3" s="706"/>
      <c r="E3" s="706"/>
      <c r="F3" s="706"/>
      <c r="G3" s="320"/>
    </row>
    <row r="4" spans="1:7" ht="39.75" customHeight="1">
      <c r="A4" s="317"/>
      <c r="B4" s="318"/>
      <c r="C4" s="319"/>
      <c r="D4" s="319"/>
      <c r="E4" s="319"/>
      <c r="F4" s="319"/>
      <c r="G4" s="320"/>
    </row>
    <row r="5" spans="1:7" ht="30" customHeight="1">
      <c r="A5" s="317"/>
      <c r="B5" s="709"/>
      <c r="C5" s="710"/>
      <c r="D5" s="710"/>
      <c r="E5" s="710"/>
      <c r="F5" s="710"/>
      <c r="G5" s="320"/>
    </row>
    <row r="6" spans="1:7" ht="12" customHeight="1">
      <c r="A6" s="704"/>
      <c r="B6" s="705"/>
      <c r="C6" s="705"/>
      <c r="D6" s="705"/>
      <c r="E6" s="705"/>
      <c r="F6" s="705"/>
      <c r="G6" s="705"/>
    </row>
    <row r="7" spans="1:7" ht="24.75" customHeight="1">
      <c r="A7" s="321" t="s">
        <v>40</v>
      </c>
      <c r="B7" s="707" t="s">
        <v>99</v>
      </c>
      <c r="C7" s="707"/>
      <c r="D7" s="707"/>
      <c r="E7" s="707"/>
      <c r="F7" s="707"/>
      <c r="G7" s="267"/>
    </row>
    <row r="8" spans="1:7" ht="24.75" customHeight="1">
      <c r="A8" s="289"/>
      <c r="B8" s="707"/>
      <c r="C8" s="707"/>
      <c r="D8" s="707"/>
      <c r="E8" s="707"/>
      <c r="F8" s="707"/>
      <c r="G8" s="267"/>
    </row>
    <row r="9" spans="1:7" ht="24.75" customHeight="1">
      <c r="A9" s="322"/>
      <c r="B9" s="708"/>
      <c r="C9" s="708"/>
      <c r="D9" s="708"/>
      <c r="E9" s="708"/>
      <c r="F9" s="708"/>
      <c r="G9" s="323"/>
    </row>
    <row r="10" spans="1:7" ht="24.75" customHeight="1">
      <c r="A10" s="324"/>
      <c r="B10" s="695" t="s">
        <v>96</v>
      </c>
      <c r="C10" s="711"/>
      <c r="D10" s="711"/>
      <c r="E10" s="711"/>
      <c r="F10" s="711"/>
      <c r="G10" s="289"/>
    </row>
    <row r="11" spans="1:7" ht="16.5" customHeight="1">
      <c r="A11" s="325"/>
      <c r="B11" s="710"/>
      <c r="C11" s="710"/>
      <c r="D11" s="710"/>
      <c r="E11" s="710"/>
      <c r="F11" s="710"/>
      <c r="G11" s="266"/>
    </row>
    <row r="12" spans="1:7" ht="24.75" customHeight="1">
      <c r="A12" s="269"/>
      <c r="B12" s="712" t="s">
        <v>106</v>
      </c>
      <c r="C12" s="710"/>
      <c r="D12" s="710"/>
      <c r="E12" s="710"/>
      <c r="F12" s="710"/>
      <c r="G12" s="266"/>
    </row>
    <row r="13" spans="1:7" ht="12" customHeight="1">
      <c r="A13" s="266"/>
      <c r="B13" s="295"/>
      <c r="C13" s="295"/>
      <c r="D13" s="295"/>
      <c r="E13" s="295"/>
      <c r="F13" s="295"/>
      <c r="G13" s="295"/>
    </row>
    <row r="14" spans="1:7" ht="24.75" customHeight="1">
      <c r="A14" s="266" t="s">
        <v>40</v>
      </c>
      <c r="B14" s="713" t="s">
        <v>107</v>
      </c>
      <c r="C14" s="707"/>
      <c r="D14" s="707"/>
      <c r="E14" s="707"/>
      <c r="F14" s="707"/>
      <c r="G14" s="295"/>
    </row>
    <row r="15" spans="1:7">
      <c r="A15" s="266"/>
      <c r="B15" s="710"/>
      <c r="C15" s="710"/>
      <c r="D15" s="710"/>
      <c r="E15" s="710"/>
      <c r="F15" s="710"/>
      <c r="G15" s="295"/>
    </row>
    <row r="16" spans="1:7">
      <c r="A16" s="266" t="s">
        <v>40</v>
      </c>
      <c r="B16" s="295" t="s">
        <v>40</v>
      </c>
      <c r="C16" s="295"/>
      <c r="D16" s="295"/>
      <c r="E16" s="295"/>
      <c r="F16" s="295"/>
      <c r="G16" s="295"/>
    </row>
    <row r="17" spans="1:7" s="326" customFormat="1" ht="24.75" customHeight="1">
      <c r="A17" s="266"/>
      <c r="B17" s="692" t="s">
        <v>100</v>
      </c>
      <c r="C17" s="692"/>
      <c r="D17" s="692"/>
      <c r="E17" s="692"/>
      <c r="F17" s="692"/>
      <c r="G17" s="266"/>
    </row>
    <row r="18" spans="1:7">
      <c r="A18" s="266"/>
      <c r="B18" s="266"/>
      <c r="C18" s="266"/>
      <c r="D18" s="266"/>
      <c r="E18" s="266"/>
      <c r="F18" s="266"/>
      <c r="G18" s="266"/>
    </row>
    <row r="19" spans="1:7" ht="24.75" customHeight="1">
      <c r="A19" s="266"/>
      <c r="B19" s="692" t="s">
        <v>94</v>
      </c>
      <c r="C19" s="692"/>
      <c r="D19" s="692"/>
      <c r="E19" s="692"/>
      <c r="F19" s="692"/>
      <c r="G19" s="266"/>
    </row>
    <row r="20" spans="1:7">
      <c r="A20" s="295"/>
      <c r="B20" s="295"/>
      <c r="C20" s="295"/>
      <c r="D20" s="295"/>
      <c r="E20" s="295"/>
      <c r="F20" s="295"/>
      <c r="G20" s="295"/>
    </row>
    <row r="21" spans="1:7">
      <c r="A21" s="295"/>
      <c r="B21" s="295"/>
      <c r="C21" s="295"/>
      <c r="D21" s="295"/>
      <c r="E21" s="295"/>
      <c r="F21" s="295"/>
      <c r="G21" s="295"/>
    </row>
    <row r="22" spans="1:7">
      <c r="A22" s="295"/>
      <c r="B22" s="295"/>
      <c r="C22" s="295"/>
      <c r="D22" s="295"/>
      <c r="E22" s="295"/>
      <c r="F22" s="295"/>
      <c r="G22" s="295"/>
    </row>
    <row r="23" spans="1:7">
      <c r="A23" s="295"/>
      <c r="B23" s="295"/>
      <c r="C23" s="295"/>
      <c r="D23" s="295"/>
      <c r="E23" s="295"/>
      <c r="F23" s="295"/>
      <c r="G23" s="295"/>
    </row>
  </sheetData>
  <mergeCells count="11">
    <mergeCell ref="B17:F17"/>
    <mergeCell ref="B19:F19"/>
    <mergeCell ref="B10:F11"/>
    <mergeCell ref="B12:F12"/>
    <mergeCell ref="B14:F15"/>
    <mergeCell ref="A1:G1"/>
    <mergeCell ref="A6:G6"/>
    <mergeCell ref="B3:F3"/>
    <mergeCell ref="B7:F9"/>
    <mergeCell ref="B2:F2"/>
    <mergeCell ref="B5:F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D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60" customHeight="1">
      <c r="A1" s="714"/>
      <c r="B1" s="580"/>
      <c r="C1" s="580"/>
      <c r="D1" s="580"/>
      <c r="E1" s="580"/>
      <c r="F1" s="580"/>
      <c r="G1" s="580"/>
    </row>
    <row r="2" spans="1:7" ht="24.75" customHeight="1">
      <c r="A2" s="717"/>
      <c r="B2" s="717"/>
      <c r="C2" s="717"/>
      <c r="D2" s="717"/>
      <c r="E2" s="718"/>
      <c r="F2" s="718"/>
      <c r="G2" s="718"/>
    </row>
    <row r="3" spans="1:7" ht="24.75" customHeight="1">
      <c r="A3" s="322"/>
      <c r="B3" s="322"/>
      <c r="C3" s="322"/>
      <c r="D3" s="322"/>
      <c r="E3" s="289"/>
      <c r="F3" s="289"/>
      <c r="G3" s="289"/>
    </row>
    <row r="4" spans="1:7" ht="20" customHeight="1">
      <c r="A4" s="322"/>
      <c r="B4" s="719" t="s">
        <v>95</v>
      </c>
      <c r="C4" s="719"/>
      <c r="D4" s="719"/>
      <c r="E4" s="719"/>
      <c r="F4" s="719"/>
      <c r="G4" s="323"/>
    </row>
    <row r="5" spans="1:7" ht="28.5" customHeight="1">
      <c r="A5" s="322"/>
      <c r="B5" s="719"/>
      <c r="C5" s="719"/>
      <c r="D5" s="719"/>
      <c r="E5" s="719"/>
      <c r="F5" s="719"/>
      <c r="G5" s="323"/>
    </row>
    <row r="6" spans="1:7" ht="20" customHeight="1">
      <c r="A6" s="322"/>
      <c r="B6" s="327"/>
      <c r="C6" s="327"/>
      <c r="D6" s="327"/>
      <c r="E6" s="327"/>
      <c r="F6" s="327"/>
      <c r="G6" s="323"/>
    </row>
    <row r="7" spans="1:7" ht="24.75" customHeight="1">
      <c r="A7" s="324"/>
      <c r="B7" s="328"/>
      <c r="C7" s="328"/>
      <c r="D7" s="328"/>
      <c r="E7" s="328"/>
      <c r="F7" s="289"/>
      <c r="G7" s="289"/>
    </row>
    <row r="8" spans="1:7" ht="24.75" customHeight="1">
      <c r="A8" s="325"/>
      <c r="B8" s="715" t="s">
        <v>121</v>
      </c>
      <c r="C8" s="710"/>
      <c r="D8" s="710"/>
      <c r="E8" s="710"/>
      <c r="F8" s="710"/>
      <c r="G8" s="266"/>
    </row>
    <row r="9" spans="1:7" ht="24.75" customHeight="1">
      <c r="A9" s="269"/>
      <c r="B9" s="710"/>
      <c r="C9" s="710"/>
      <c r="D9" s="710"/>
      <c r="E9" s="710"/>
      <c r="F9" s="710"/>
      <c r="G9" s="266"/>
    </row>
    <row r="10" spans="1:7" ht="24.75" customHeight="1">
      <c r="A10" s="266"/>
      <c r="B10" s="707" t="s">
        <v>148</v>
      </c>
      <c r="C10" s="707"/>
      <c r="D10" s="707"/>
      <c r="E10" s="707"/>
      <c r="F10" s="707"/>
      <c r="G10" s="295"/>
    </row>
    <row r="11" spans="1:7">
      <c r="A11" s="266" t="s">
        <v>40</v>
      </c>
      <c r="B11" s="295" t="s">
        <v>40</v>
      </c>
      <c r="C11" s="295"/>
      <c r="D11" s="295"/>
      <c r="E11" s="295"/>
      <c r="F11" s="295"/>
      <c r="G11" s="295"/>
    </row>
    <row r="12" spans="1:7" ht="24.75" customHeight="1">
      <c r="A12" s="266"/>
      <c r="B12" s="707" t="s">
        <v>122</v>
      </c>
      <c r="C12" s="707"/>
      <c r="D12" s="707"/>
      <c r="E12" s="707"/>
      <c r="F12" s="707"/>
      <c r="G12" s="295"/>
    </row>
    <row r="13" spans="1:7" ht="24.75" customHeight="1">
      <c r="A13" s="266" t="s">
        <v>40</v>
      </c>
      <c r="B13" s="716"/>
      <c r="C13" s="716"/>
      <c r="D13" s="716"/>
      <c r="E13" s="716"/>
      <c r="F13" s="716"/>
      <c r="G13" s="295"/>
    </row>
    <row r="14" spans="1:7">
      <c r="A14" s="266"/>
      <c r="B14" s="295"/>
      <c r="C14" s="295"/>
      <c r="D14" s="295"/>
      <c r="E14" s="295"/>
      <c r="F14" s="295"/>
      <c r="G14" s="295"/>
    </row>
    <row r="15" spans="1:7">
      <c r="A15" s="266"/>
      <c r="B15" s="295"/>
      <c r="C15" s="295"/>
      <c r="D15" s="295"/>
      <c r="E15" s="295"/>
      <c r="F15" s="295"/>
      <c r="G15" s="295"/>
    </row>
    <row r="16" spans="1:7">
      <c r="A16" s="266"/>
      <c r="B16" s="295"/>
      <c r="C16" s="295"/>
      <c r="D16" s="295"/>
      <c r="E16" s="295"/>
      <c r="F16" s="295"/>
      <c r="G16" s="295"/>
    </row>
    <row r="17" spans="1:7">
      <c r="A17" s="266"/>
      <c r="B17" s="266"/>
      <c r="C17" s="266"/>
      <c r="D17" s="266"/>
      <c r="E17" s="266"/>
      <c r="F17" s="266"/>
      <c r="G17" s="266"/>
    </row>
    <row r="18" spans="1:7">
      <c r="A18" s="266"/>
      <c r="B18" s="266"/>
      <c r="C18" s="266"/>
      <c r="D18" s="266"/>
      <c r="E18" s="266"/>
      <c r="F18" s="266"/>
      <c r="G18" s="266"/>
    </row>
    <row r="19" spans="1:7">
      <c r="A19" s="266"/>
      <c r="B19" s="266"/>
      <c r="C19" s="266"/>
      <c r="D19" s="266"/>
      <c r="E19" s="266"/>
      <c r="F19" s="266"/>
      <c r="G19" s="266"/>
    </row>
    <row r="20" spans="1:7">
      <c r="A20" s="266"/>
      <c r="B20" s="266"/>
      <c r="C20" s="266"/>
      <c r="D20" s="266"/>
      <c r="E20" s="266"/>
      <c r="F20" s="266"/>
      <c r="G20" s="266"/>
    </row>
    <row r="21" spans="1:7">
      <c r="A21" s="266"/>
      <c r="B21" s="266"/>
      <c r="C21" s="266"/>
      <c r="D21" s="266"/>
      <c r="E21" s="266"/>
      <c r="F21" s="266"/>
      <c r="G21" s="266"/>
    </row>
    <row r="22" spans="1:7">
      <c r="A22" s="266"/>
      <c r="B22" s="266"/>
      <c r="C22" s="266"/>
      <c r="D22" s="266"/>
      <c r="E22" s="266"/>
      <c r="F22" s="266"/>
      <c r="G22" s="266"/>
    </row>
    <row r="23" spans="1:7">
      <c r="A23" s="266"/>
      <c r="B23" s="266"/>
      <c r="C23" s="266"/>
      <c r="D23" s="266"/>
      <c r="E23" s="266"/>
      <c r="F23" s="266"/>
      <c r="G23" s="266"/>
    </row>
    <row r="24" spans="1:7">
      <c r="A24" s="266"/>
      <c r="B24" s="266"/>
      <c r="C24" s="266"/>
      <c r="D24" s="266"/>
      <c r="E24" s="266"/>
      <c r="F24" s="266"/>
      <c r="G24" s="266"/>
    </row>
    <row r="25" spans="1:7">
      <c r="A25" s="266"/>
      <c r="B25" s="266"/>
      <c r="C25" s="266"/>
      <c r="D25" s="266"/>
      <c r="E25" s="266"/>
      <c r="F25" s="266"/>
      <c r="G25" s="266"/>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showGridLines="0" topLeftCell="A33" zoomScale="125" zoomScaleNormal="125" zoomScalePageLayoutView="125" workbookViewId="0">
      <selection activeCell="G83" sqref="G83"/>
    </sheetView>
  </sheetViews>
  <sheetFormatPr baseColWidth="10" defaultColWidth="8.83203125" defaultRowHeight="12" x14ac:dyDescent="0"/>
  <cols>
    <col min="2" max="2" width="5.6640625" customWidth="1"/>
    <col min="3" max="3" width="9.83203125" customWidth="1"/>
    <col min="4" max="4" width="9.33203125" customWidth="1"/>
    <col min="5" max="5" width="10.3320312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7" width="9.33203125" bestFit="1" customWidth="1"/>
  </cols>
  <sheetData>
    <row r="1" spans="1:31" ht="13" thickBot="1">
      <c r="B1" t="s">
        <v>194</v>
      </c>
      <c r="AE1" s="47"/>
    </row>
    <row r="2" spans="1:31" ht="13" thickBot="1">
      <c r="A2" s="174"/>
      <c r="B2" s="449" t="s">
        <v>52</v>
      </c>
      <c r="C2" s="450"/>
      <c r="D2" s="451" t="s">
        <v>53</v>
      </c>
      <c r="E2" s="452"/>
      <c r="F2" s="451" t="s">
        <v>54</v>
      </c>
      <c r="G2" s="452"/>
      <c r="H2" s="451" t="s">
        <v>55</v>
      </c>
      <c r="I2" s="452"/>
      <c r="J2" s="720" t="s">
        <v>56</v>
      </c>
      <c r="K2" s="721"/>
      <c r="L2" s="722"/>
      <c r="M2" s="720" t="s">
        <v>57</v>
      </c>
      <c r="N2" s="721"/>
      <c r="O2" s="722"/>
      <c r="P2" s="451"/>
      <c r="Q2" s="453" t="s">
        <v>58</v>
      </c>
      <c r="R2" s="452"/>
      <c r="S2" s="451"/>
      <c r="T2" s="453" t="s">
        <v>59</v>
      </c>
      <c r="U2" s="452"/>
      <c r="V2" s="453"/>
      <c r="W2" s="453" t="s">
        <v>123</v>
      </c>
      <c r="X2" s="452"/>
      <c r="Y2" s="453"/>
      <c r="Z2" s="453" t="s">
        <v>124</v>
      </c>
      <c r="AA2" s="454"/>
      <c r="AE2" s="47"/>
    </row>
    <row r="3" spans="1:31"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385" t="s">
        <v>123</v>
      </c>
      <c r="W3" s="382" t="s">
        <v>63</v>
      </c>
      <c r="X3" s="383" t="s">
        <v>64</v>
      </c>
      <c r="Y3" s="384" t="s">
        <v>124</v>
      </c>
      <c r="Z3" s="382" t="s">
        <v>63</v>
      </c>
      <c r="AA3" s="383" t="s">
        <v>64</v>
      </c>
      <c r="AC3" s="380"/>
      <c r="AD3" s="380"/>
      <c r="AE3" s="47"/>
    </row>
    <row r="4" spans="1:31" ht="13" thickBot="1">
      <c r="A4" s="176" t="s">
        <v>22</v>
      </c>
      <c r="B4" s="280" t="s">
        <v>85</v>
      </c>
      <c r="C4" s="426">
        <v>55900</v>
      </c>
      <c r="D4" s="430">
        <v>61500</v>
      </c>
      <c r="E4" s="446">
        <f>D4-C4</f>
        <v>5600</v>
      </c>
      <c r="F4" s="430">
        <v>67100</v>
      </c>
      <c r="G4" s="446">
        <f>F4-C4</f>
        <v>11200</v>
      </c>
      <c r="H4" s="430">
        <v>72700</v>
      </c>
      <c r="I4" s="446">
        <f>H4-C4</f>
        <v>16800</v>
      </c>
      <c r="J4" s="430">
        <v>78300</v>
      </c>
      <c r="K4" s="446">
        <f>I4</f>
        <v>16800</v>
      </c>
      <c r="L4" s="447">
        <f>J4-H4</f>
        <v>5600</v>
      </c>
      <c r="M4" s="430">
        <v>83900</v>
      </c>
      <c r="N4" s="446">
        <f>I4</f>
        <v>16800</v>
      </c>
      <c r="O4" s="447">
        <f>M4-H4</f>
        <v>11200</v>
      </c>
      <c r="P4" s="435">
        <v>92200</v>
      </c>
      <c r="Q4" s="446">
        <f>I4</f>
        <v>16800</v>
      </c>
      <c r="R4" s="447">
        <f>P4-H4</f>
        <v>19500</v>
      </c>
      <c r="S4" s="435">
        <v>100600</v>
      </c>
      <c r="T4" s="446">
        <f>I4</f>
        <v>16800</v>
      </c>
      <c r="U4" s="448">
        <f>S4-H4</f>
        <v>27900</v>
      </c>
      <c r="V4" s="438">
        <v>111800</v>
      </c>
      <c r="W4" s="446">
        <f>I4</f>
        <v>16800</v>
      </c>
      <c r="X4" s="447">
        <f>V4-H4</f>
        <v>39100</v>
      </c>
      <c r="Y4" s="442">
        <v>125800</v>
      </c>
      <c r="Z4" s="446">
        <f>I4</f>
        <v>16800</v>
      </c>
      <c r="AA4" s="447">
        <f>Y4-H4</f>
        <v>53100</v>
      </c>
    </row>
    <row r="5" spans="1:31" ht="13" thickBot="1">
      <c r="A5" s="177" t="s">
        <v>23</v>
      </c>
      <c r="B5" s="22">
        <v>1</v>
      </c>
      <c r="C5" s="427">
        <v>64900</v>
      </c>
      <c r="D5" s="431">
        <v>71400</v>
      </c>
      <c r="E5" s="446">
        <f t="shared" ref="E5:E25" si="0">D5-C5</f>
        <v>6500</v>
      </c>
      <c r="F5" s="431">
        <v>77900</v>
      </c>
      <c r="G5" s="446">
        <f t="shared" ref="G5:G25" si="1">F5-C5</f>
        <v>13000</v>
      </c>
      <c r="H5" s="431">
        <v>84400</v>
      </c>
      <c r="I5" s="446">
        <f t="shared" ref="I5:I25" si="2">H5-C5</f>
        <v>19500</v>
      </c>
      <c r="J5" s="431">
        <v>90900</v>
      </c>
      <c r="K5" s="446">
        <f t="shared" ref="K5:K25" si="3">I5</f>
        <v>19500</v>
      </c>
      <c r="L5" s="447">
        <f t="shared" ref="L5:L25" si="4">J5-H5</f>
        <v>6500</v>
      </c>
      <c r="M5" s="431">
        <v>97400</v>
      </c>
      <c r="N5" s="446">
        <f t="shared" ref="N5:N25" si="5">I5</f>
        <v>19500</v>
      </c>
      <c r="O5" s="447">
        <f t="shared" ref="O5:O25" si="6">M5-H5</f>
        <v>13000</v>
      </c>
      <c r="P5" s="436">
        <v>107100</v>
      </c>
      <c r="Q5" s="446">
        <f t="shared" ref="Q5:Q25" si="7">I5</f>
        <v>19500</v>
      </c>
      <c r="R5" s="447">
        <f t="shared" ref="R5:R25" si="8">P5-H5</f>
        <v>22700</v>
      </c>
      <c r="S5" s="436">
        <v>116800</v>
      </c>
      <c r="T5" s="446">
        <f t="shared" ref="T5:T25" si="9">I5</f>
        <v>19500</v>
      </c>
      <c r="U5" s="448">
        <f t="shared" ref="U5:U25" si="10">S5-H5</f>
        <v>32400</v>
      </c>
      <c r="V5" s="439">
        <v>129800</v>
      </c>
      <c r="W5" s="446">
        <f t="shared" ref="W5:W25" si="11">I5</f>
        <v>19500</v>
      </c>
      <c r="X5" s="447">
        <f t="shared" ref="X5:X25" si="12">V5-H5</f>
        <v>45400</v>
      </c>
      <c r="Y5" s="443">
        <v>146000</v>
      </c>
      <c r="Z5" s="446">
        <f t="shared" ref="Z5:Z25" si="13">I5</f>
        <v>19500</v>
      </c>
      <c r="AA5" s="447">
        <f t="shared" ref="AA5:AA25" si="14">Y5-H5</f>
        <v>61600</v>
      </c>
    </row>
    <row r="6" spans="1:31" ht="13" thickBot="1">
      <c r="A6" s="178"/>
      <c r="B6" s="23">
        <v>2</v>
      </c>
      <c r="C6" s="428">
        <v>68700</v>
      </c>
      <c r="D6" s="432">
        <v>75600</v>
      </c>
      <c r="E6" s="446">
        <f t="shared" si="0"/>
        <v>6900</v>
      </c>
      <c r="F6" s="432">
        <v>82400</v>
      </c>
      <c r="G6" s="446">
        <f t="shared" si="1"/>
        <v>13700</v>
      </c>
      <c r="H6" s="432">
        <v>89300</v>
      </c>
      <c r="I6" s="446">
        <f t="shared" si="2"/>
        <v>20600</v>
      </c>
      <c r="J6" s="432">
        <v>96200</v>
      </c>
      <c r="K6" s="446">
        <f t="shared" si="3"/>
        <v>20600</v>
      </c>
      <c r="L6" s="447">
        <f t="shared" si="4"/>
        <v>6900</v>
      </c>
      <c r="M6" s="432">
        <v>103100</v>
      </c>
      <c r="N6" s="446">
        <f t="shared" si="5"/>
        <v>20600</v>
      </c>
      <c r="O6" s="447">
        <f t="shared" si="6"/>
        <v>13800</v>
      </c>
      <c r="P6" s="38">
        <v>113400</v>
      </c>
      <c r="Q6" s="446">
        <f t="shared" si="7"/>
        <v>20600</v>
      </c>
      <c r="R6" s="447">
        <f t="shared" si="8"/>
        <v>24100</v>
      </c>
      <c r="S6" s="38">
        <v>123700</v>
      </c>
      <c r="T6" s="446">
        <f t="shared" si="9"/>
        <v>20600</v>
      </c>
      <c r="U6" s="448">
        <f t="shared" si="10"/>
        <v>34400</v>
      </c>
      <c r="V6" s="440">
        <v>137400</v>
      </c>
      <c r="W6" s="446">
        <f t="shared" si="11"/>
        <v>20600</v>
      </c>
      <c r="X6" s="447">
        <f t="shared" si="12"/>
        <v>48100</v>
      </c>
      <c r="Y6" s="444">
        <v>154600</v>
      </c>
      <c r="Z6" s="446">
        <f t="shared" si="13"/>
        <v>20600</v>
      </c>
      <c r="AA6" s="447">
        <f t="shared" si="14"/>
        <v>65300</v>
      </c>
    </row>
    <row r="7" spans="1:31" ht="13" thickBot="1">
      <c r="A7" s="178"/>
      <c r="B7" s="23">
        <v>3</v>
      </c>
      <c r="C7" s="428">
        <v>72500</v>
      </c>
      <c r="D7" s="432">
        <v>79800</v>
      </c>
      <c r="E7" s="446">
        <f t="shared" si="0"/>
        <v>7300</v>
      </c>
      <c r="F7" s="432">
        <v>87000</v>
      </c>
      <c r="G7" s="446">
        <f t="shared" si="1"/>
        <v>14500</v>
      </c>
      <c r="H7" s="432">
        <v>94300</v>
      </c>
      <c r="I7" s="446">
        <f t="shared" si="2"/>
        <v>21800</v>
      </c>
      <c r="J7" s="432">
        <v>101500</v>
      </c>
      <c r="K7" s="446">
        <f t="shared" si="3"/>
        <v>21800</v>
      </c>
      <c r="L7" s="447">
        <f t="shared" si="4"/>
        <v>7200</v>
      </c>
      <c r="M7" s="432">
        <v>108800</v>
      </c>
      <c r="N7" s="446">
        <f t="shared" si="5"/>
        <v>21800</v>
      </c>
      <c r="O7" s="447">
        <f t="shared" si="6"/>
        <v>14500</v>
      </c>
      <c r="P7" s="38">
        <v>119600</v>
      </c>
      <c r="Q7" s="446">
        <f t="shared" si="7"/>
        <v>21800</v>
      </c>
      <c r="R7" s="447">
        <f t="shared" si="8"/>
        <v>25300</v>
      </c>
      <c r="S7" s="38">
        <v>130500</v>
      </c>
      <c r="T7" s="446">
        <f t="shared" si="9"/>
        <v>21800</v>
      </c>
      <c r="U7" s="448">
        <f t="shared" si="10"/>
        <v>36200</v>
      </c>
      <c r="V7" s="440">
        <v>145000</v>
      </c>
      <c r="W7" s="446">
        <f t="shared" si="11"/>
        <v>21800</v>
      </c>
      <c r="X7" s="447">
        <f t="shared" si="12"/>
        <v>50700</v>
      </c>
      <c r="Y7" s="444">
        <v>163100</v>
      </c>
      <c r="Z7" s="446">
        <f t="shared" si="13"/>
        <v>21800</v>
      </c>
      <c r="AA7" s="447">
        <f t="shared" si="14"/>
        <v>68800</v>
      </c>
    </row>
    <row r="8" spans="1:31" ht="13" thickBot="1">
      <c r="A8" s="178"/>
      <c r="B8" s="23">
        <v>4</v>
      </c>
      <c r="C8" s="428">
        <v>76700</v>
      </c>
      <c r="D8" s="432">
        <v>84400</v>
      </c>
      <c r="E8" s="446">
        <f t="shared" si="0"/>
        <v>7700</v>
      </c>
      <c r="F8" s="432">
        <v>92000</v>
      </c>
      <c r="G8" s="446">
        <f t="shared" si="1"/>
        <v>15300</v>
      </c>
      <c r="H8" s="432">
        <v>99700</v>
      </c>
      <c r="I8" s="446">
        <f t="shared" si="2"/>
        <v>23000</v>
      </c>
      <c r="J8" s="432">
        <v>107400</v>
      </c>
      <c r="K8" s="446">
        <f t="shared" si="3"/>
        <v>23000</v>
      </c>
      <c r="L8" s="447">
        <f t="shared" si="4"/>
        <v>7700</v>
      </c>
      <c r="M8" s="432">
        <v>115100</v>
      </c>
      <c r="N8" s="446">
        <f t="shared" si="5"/>
        <v>23000</v>
      </c>
      <c r="O8" s="447">
        <f t="shared" si="6"/>
        <v>15400</v>
      </c>
      <c r="P8" s="38">
        <v>126600</v>
      </c>
      <c r="Q8" s="446">
        <f t="shared" si="7"/>
        <v>23000</v>
      </c>
      <c r="R8" s="447">
        <f t="shared" si="8"/>
        <v>26900</v>
      </c>
      <c r="S8" s="38">
        <v>138100</v>
      </c>
      <c r="T8" s="446">
        <f t="shared" si="9"/>
        <v>23000</v>
      </c>
      <c r="U8" s="448">
        <f t="shared" si="10"/>
        <v>38400</v>
      </c>
      <c r="V8" s="440">
        <v>153400</v>
      </c>
      <c r="W8" s="446">
        <f t="shared" si="11"/>
        <v>23000</v>
      </c>
      <c r="X8" s="447">
        <f t="shared" si="12"/>
        <v>53700</v>
      </c>
      <c r="Y8" s="444">
        <v>172600</v>
      </c>
      <c r="Z8" s="446">
        <f t="shared" si="13"/>
        <v>23000</v>
      </c>
      <c r="AA8" s="447">
        <f t="shared" si="14"/>
        <v>72900</v>
      </c>
    </row>
    <row r="9" spans="1:31" ht="13" thickBot="1">
      <c r="A9" s="178"/>
      <c r="B9" s="23">
        <v>5</v>
      </c>
      <c r="C9" s="428">
        <v>80500</v>
      </c>
      <c r="D9" s="432">
        <v>88600</v>
      </c>
      <c r="E9" s="446">
        <f t="shared" si="0"/>
        <v>8100</v>
      </c>
      <c r="F9" s="432">
        <v>96600</v>
      </c>
      <c r="G9" s="446">
        <f t="shared" si="1"/>
        <v>16100</v>
      </c>
      <c r="H9" s="432">
        <v>104700</v>
      </c>
      <c r="I9" s="446">
        <f t="shared" si="2"/>
        <v>24200</v>
      </c>
      <c r="J9" s="432">
        <v>112700</v>
      </c>
      <c r="K9" s="446">
        <f t="shared" si="3"/>
        <v>24200</v>
      </c>
      <c r="L9" s="447">
        <f t="shared" si="4"/>
        <v>8000</v>
      </c>
      <c r="M9" s="432">
        <v>120800</v>
      </c>
      <c r="N9" s="446">
        <f t="shared" si="5"/>
        <v>24200</v>
      </c>
      <c r="O9" s="447">
        <f t="shared" si="6"/>
        <v>16100</v>
      </c>
      <c r="P9" s="38">
        <v>132800</v>
      </c>
      <c r="Q9" s="446">
        <f t="shared" si="7"/>
        <v>24200</v>
      </c>
      <c r="R9" s="447">
        <f t="shared" si="8"/>
        <v>28100</v>
      </c>
      <c r="S9" s="38">
        <v>144900</v>
      </c>
      <c r="T9" s="446">
        <f t="shared" si="9"/>
        <v>24200</v>
      </c>
      <c r="U9" s="448">
        <f t="shared" si="10"/>
        <v>40200</v>
      </c>
      <c r="V9" s="440">
        <v>161000</v>
      </c>
      <c r="W9" s="446">
        <f t="shared" si="11"/>
        <v>24200</v>
      </c>
      <c r="X9" s="447">
        <f t="shared" si="12"/>
        <v>56300</v>
      </c>
      <c r="Y9" s="444">
        <v>181100</v>
      </c>
      <c r="Z9" s="446">
        <f t="shared" si="13"/>
        <v>24200</v>
      </c>
      <c r="AA9" s="447">
        <f t="shared" si="14"/>
        <v>76400</v>
      </c>
    </row>
    <row r="10" spans="1:31" ht="13" thickBot="1">
      <c r="A10" s="179"/>
      <c r="B10" s="24">
        <v>6</v>
      </c>
      <c r="C10" s="429">
        <v>84400</v>
      </c>
      <c r="D10" s="433">
        <v>92800</v>
      </c>
      <c r="E10" s="446">
        <f t="shared" si="0"/>
        <v>8400</v>
      </c>
      <c r="F10" s="433">
        <v>101300</v>
      </c>
      <c r="G10" s="446">
        <f t="shared" si="1"/>
        <v>16900</v>
      </c>
      <c r="H10" s="433">
        <v>109700</v>
      </c>
      <c r="I10" s="446">
        <f t="shared" si="2"/>
        <v>25300</v>
      </c>
      <c r="J10" s="433">
        <v>118200</v>
      </c>
      <c r="K10" s="446">
        <f t="shared" si="3"/>
        <v>25300</v>
      </c>
      <c r="L10" s="447">
        <f t="shared" si="4"/>
        <v>8500</v>
      </c>
      <c r="M10" s="433">
        <v>126600</v>
      </c>
      <c r="N10" s="446">
        <f t="shared" si="5"/>
        <v>25300</v>
      </c>
      <c r="O10" s="447">
        <f t="shared" si="6"/>
        <v>16900</v>
      </c>
      <c r="P10" s="437">
        <v>139300</v>
      </c>
      <c r="Q10" s="446">
        <f t="shared" si="7"/>
        <v>25300</v>
      </c>
      <c r="R10" s="447">
        <f t="shared" si="8"/>
        <v>29600</v>
      </c>
      <c r="S10" s="437">
        <v>151900</v>
      </c>
      <c r="T10" s="446">
        <f t="shared" si="9"/>
        <v>25300</v>
      </c>
      <c r="U10" s="448">
        <f t="shared" si="10"/>
        <v>42200</v>
      </c>
      <c r="V10" s="441">
        <v>168800</v>
      </c>
      <c r="W10" s="446">
        <f t="shared" si="11"/>
        <v>25300</v>
      </c>
      <c r="X10" s="447">
        <f t="shared" si="12"/>
        <v>59100</v>
      </c>
      <c r="Y10" s="445">
        <v>189900</v>
      </c>
      <c r="Z10" s="446">
        <f t="shared" si="13"/>
        <v>25300</v>
      </c>
      <c r="AA10" s="447">
        <f t="shared" si="14"/>
        <v>80200</v>
      </c>
    </row>
    <row r="11" spans="1:31" ht="13" thickBot="1">
      <c r="A11" s="177" t="s">
        <v>24</v>
      </c>
      <c r="B11" s="22">
        <v>1</v>
      </c>
      <c r="C11" s="427">
        <v>80600</v>
      </c>
      <c r="D11" s="431">
        <v>88700</v>
      </c>
      <c r="E11" s="446">
        <f t="shared" si="0"/>
        <v>8100</v>
      </c>
      <c r="F11" s="431">
        <v>96700</v>
      </c>
      <c r="G11" s="446">
        <f t="shared" si="1"/>
        <v>16100</v>
      </c>
      <c r="H11" s="431">
        <v>104800</v>
      </c>
      <c r="I11" s="446">
        <f t="shared" si="2"/>
        <v>24200</v>
      </c>
      <c r="J11" s="431">
        <v>112800</v>
      </c>
      <c r="K11" s="446">
        <f t="shared" si="3"/>
        <v>24200</v>
      </c>
      <c r="L11" s="447">
        <f t="shared" si="4"/>
        <v>8000</v>
      </c>
      <c r="M11" s="431">
        <v>120900</v>
      </c>
      <c r="N11" s="446">
        <f t="shared" si="5"/>
        <v>24200</v>
      </c>
      <c r="O11" s="447">
        <f t="shared" si="6"/>
        <v>16100</v>
      </c>
      <c r="P11" s="436">
        <v>133000</v>
      </c>
      <c r="Q11" s="446">
        <f t="shared" si="7"/>
        <v>24200</v>
      </c>
      <c r="R11" s="447">
        <f t="shared" si="8"/>
        <v>28200</v>
      </c>
      <c r="S11" s="436">
        <v>145100</v>
      </c>
      <c r="T11" s="446">
        <f t="shared" si="9"/>
        <v>24200</v>
      </c>
      <c r="U11" s="448">
        <f t="shared" si="10"/>
        <v>40300</v>
      </c>
      <c r="V11" s="439">
        <v>161200</v>
      </c>
      <c r="W11" s="446">
        <f t="shared" si="11"/>
        <v>24200</v>
      </c>
      <c r="X11" s="447">
        <f t="shared" si="12"/>
        <v>56400</v>
      </c>
      <c r="Y11" s="443">
        <v>181400</v>
      </c>
      <c r="Z11" s="446">
        <f t="shared" si="13"/>
        <v>24200</v>
      </c>
      <c r="AA11" s="447">
        <f t="shared" si="14"/>
        <v>76600</v>
      </c>
    </row>
    <row r="12" spans="1:31" ht="13" thickBot="1">
      <c r="A12" s="178"/>
      <c r="B12" s="23">
        <v>2</v>
      </c>
      <c r="C12" s="428">
        <v>84500</v>
      </c>
      <c r="D12" s="432">
        <v>93000</v>
      </c>
      <c r="E12" s="446">
        <f t="shared" si="0"/>
        <v>8500</v>
      </c>
      <c r="F12" s="432">
        <v>101400</v>
      </c>
      <c r="G12" s="446">
        <f t="shared" si="1"/>
        <v>16900</v>
      </c>
      <c r="H12" s="432">
        <v>109900</v>
      </c>
      <c r="I12" s="446">
        <f t="shared" si="2"/>
        <v>25400</v>
      </c>
      <c r="J12" s="432">
        <v>118300</v>
      </c>
      <c r="K12" s="446">
        <f t="shared" si="3"/>
        <v>25400</v>
      </c>
      <c r="L12" s="447">
        <f t="shared" si="4"/>
        <v>8400</v>
      </c>
      <c r="M12" s="432">
        <v>126800</v>
      </c>
      <c r="N12" s="446">
        <f t="shared" si="5"/>
        <v>25400</v>
      </c>
      <c r="O12" s="447">
        <f t="shared" si="6"/>
        <v>16900</v>
      </c>
      <c r="P12" s="38">
        <v>139400</v>
      </c>
      <c r="Q12" s="446">
        <f t="shared" si="7"/>
        <v>25400</v>
      </c>
      <c r="R12" s="447">
        <f t="shared" si="8"/>
        <v>29500</v>
      </c>
      <c r="S12" s="38">
        <v>152100</v>
      </c>
      <c r="T12" s="446">
        <f t="shared" si="9"/>
        <v>25400</v>
      </c>
      <c r="U12" s="448">
        <f t="shared" si="10"/>
        <v>42200</v>
      </c>
      <c r="V12" s="440">
        <v>169000</v>
      </c>
      <c r="W12" s="446">
        <f t="shared" si="11"/>
        <v>25400</v>
      </c>
      <c r="X12" s="447">
        <f t="shared" si="12"/>
        <v>59100</v>
      </c>
      <c r="Y12" s="444">
        <v>190100</v>
      </c>
      <c r="Z12" s="446">
        <f t="shared" si="13"/>
        <v>25400</v>
      </c>
      <c r="AA12" s="447">
        <f t="shared" si="14"/>
        <v>80200</v>
      </c>
    </row>
    <row r="13" spans="1:31" ht="13" thickBot="1">
      <c r="A13" s="178"/>
      <c r="B13" s="23">
        <v>3</v>
      </c>
      <c r="C13" s="428">
        <v>89100</v>
      </c>
      <c r="D13" s="432">
        <v>98000</v>
      </c>
      <c r="E13" s="446">
        <f t="shared" si="0"/>
        <v>8900</v>
      </c>
      <c r="F13" s="432">
        <v>106900</v>
      </c>
      <c r="G13" s="446">
        <f t="shared" si="1"/>
        <v>17800</v>
      </c>
      <c r="H13" s="432">
        <v>115800</v>
      </c>
      <c r="I13" s="446">
        <f t="shared" si="2"/>
        <v>26700</v>
      </c>
      <c r="J13" s="432">
        <v>124700</v>
      </c>
      <c r="K13" s="446">
        <f t="shared" si="3"/>
        <v>26700</v>
      </c>
      <c r="L13" s="447">
        <f t="shared" si="4"/>
        <v>8900</v>
      </c>
      <c r="M13" s="432">
        <v>133700</v>
      </c>
      <c r="N13" s="446">
        <f t="shared" si="5"/>
        <v>26700</v>
      </c>
      <c r="O13" s="447">
        <f t="shared" si="6"/>
        <v>17900</v>
      </c>
      <c r="P13" s="38">
        <v>147000</v>
      </c>
      <c r="Q13" s="446">
        <f t="shared" si="7"/>
        <v>26700</v>
      </c>
      <c r="R13" s="447">
        <f t="shared" si="8"/>
        <v>31200</v>
      </c>
      <c r="S13" s="38">
        <v>160400</v>
      </c>
      <c r="T13" s="446">
        <f t="shared" si="9"/>
        <v>26700</v>
      </c>
      <c r="U13" s="448">
        <f t="shared" si="10"/>
        <v>44600</v>
      </c>
      <c r="V13" s="440">
        <v>178200</v>
      </c>
      <c r="W13" s="446">
        <f t="shared" si="11"/>
        <v>26700</v>
      </c>
      <c r="X13" s="447">
        <f t="shared" si="12"/>
        <v>62400</v>
      </c>
      <c r="Y13" s="444">
        <v>200500</v>
      </c>
      <c r="Z13" s="446">
        <f t="shared" si="13"/>
        <v>26700</v>
      </c>
      <c r="AA13" s="447">
        <f t="shared" si="14"/>
        <v>84700</v>
      </c>
    </row>
    <row r="14" spans="1:31" ht="13" thickBot="1">
      <c r="A14" s="178"/>
      <c r="B14" s="23">
        <v>4</v>
      </c>
      <c r="C14" s="428">
        <v>94700</v>
      </c>
      <c r="D14" s="432">
        <v>104200</v>
      </c>
      <c r="E14" s="446">
        <f t="shared" si="0"/>
        <v>9500</v>
      </c>
      <c r="F14" s="432">
        <v>113600</v>
      </c>
      <c r="G14" s="446">
        <f t="shared" si="1"/>
        <v>18900</v>
      </c>
      <c r="H14" s="432">
        <v>123100</v>
      </c>
      <c r="I14" s="446">
        <f t="shared" si="2"/>
        <v>28400</v>
      </c>
      <c r="J14" s="432">
        <v>132600</v>
      </c>
      <c r="K14" s="446">
        <f t="shared" si="3"/>
        <v>28400</v>
      </c>
      <c r="L14" s="447">
        <f t="shared" si="4"/>
        <v>9500</v>
      </c>
      <c r="M14" s="432">
        <v>142100</v>
      </c>
      <c r="N14" s="446">
        <f t="shared" si="5"/>
        <v>28400</v>
      </c>
      <c r="O14" s="447">
        <f t="shared" si="6"/>
        <v>19000</v>
      </c>
      <c r="P14" s="38">
        <v>156300</v>
      </c>
      <c r="Q14" s="446">
        <f t="shared" si="7"/>
        <v>28400</v>
      </c>
      <c r="R14" s="447">
        <f t="shared" si="8"/>
        <v>33200</v>
      </c>
      <c r="S14" s="38">
        <v>170500</v>
      </c>
      <c r="T14" s="446">
        <f t="shared" si="9"/>
        <v>28400</v>
      </c>
      <c r="U14" s="448">
        <f t="shared" si="10"/>
        <v>47400</v>
      </c>
      <c r="V14" s="440">
        <v>189400</v>
      </c>
      <c r="W14" s="446">
        <f t="shared" si="11"/>
        <v>28400</v>
      </c>
      <c r="X14" s="447">
        <f t="shared" si="12"/>
        <v>66300</v>
      </c>
      <c r="Y14" s="444">
        <v>213100</v>
      </c>
      <c r="Z14" s="446">
        <f t="shared" si="13"/>
        <v>28400</v>
      </c>
      <c r="AA14" s="447">
        <f t="shared" si="14"/>
        <v>90000</v>
      </c>
    </row>
    <row r="15" spans="1:31" ht="13" thickBot="1">
      <c r="A15" s="179"/>
      <c r="B15" s="24">
        <v>5</v>
      </c>
      <c r="C15" s="429">
        <v>102000</v>
      </c>
      <c r="D15" s="433">
        <v>112200</v>
      </c>
      <c r="E15" s="446">
        <f t="shared" si="0"/>
        <v>10200</v>
      </c>
      <c r="F15" s="433">
        <v>122400</v>
      </c>
      <c r="G15" s="446">
        <f t="shared" si="1"/>
        <v>20400</v>
      </c>
      <c r="H15" s="433">
        <v>132600</v>
      </c>
      <c r="I15" s="446">
        <f t="shared" si="2"/>
        <v>30600</v>
      </c>
      <c r="J15" s="433">
        <v>142800</v>
      </c>
      <c r="K15" s="446">
        <f t="shared" si="3"/>
        <v>30600</v>
      </c>
      <c r="L15" s="447">
        <f t="shared" si="4"/>
        <v>10200</v>
      </c>
      <c r="M15" s="433">
        <v>153000</v>
      </c>
      <c r="N15" s="446">
        <f t="shared" si="5"/>
        <v>30600</v>
      </c>
      <c r="O15" s="447">
        <f t="shared" si="6"/>
        <v>20400</v>
      </c>
      <c r="P15" s="437">
        <v>168300</v>
      </c>
      <c r="Q15" s="446">
        <f t="shared" si="7"/>
        <v>30600</v>
      </c>
      <c r="R15" s="447">
        <f t="shared" si="8"/>
        <v>35700</v>
      </c>
      <c r="S15" s="437">
        <v>183600</v>
      </c>
      <c r="T15" s="446">
        <f t="shared" si="9"/>
        <v>30600</v>
      </c>
      <c r="U15" s="448">
        <f t="shared" si="10"/>
        <v>51000</v>
      </c>
      <c r="V15" s="441">
        <v>204000</v>
      </c>
      <c r="W15" s="446">
        <f t="shared" si="11"/>
        <v>30600</v>
      </c>
      <c r="X15" s="447">
        <f t="shared" si="12"/>
        <v>71400</v>
      </c>
      <c r="Y15" s="445">
        <v>229500</v>
      </c>
      <c r="Z15" s="446">
        <f t="shared" si="13"/>
        <v>30600</v>
      </c>
      <c r="AA15" s="447">
        <f t="shared" si="14"/>
        <v>96900</v>
      </c>
    </row>
    <row r="16" spans="1:31" ht="13" thickBot="1">
      <c r="A16" s="177" t="s">
        <v>25</v>
      </c>
      <c r="B16" s="22">
        <v>1</v>
      </c>
      <c r="C16" s="427">
        <v>94800</v>
      </c>
      <c r="D16" s="431">
        <v>104300</v>
      </c>
      <c r="E16" s="446">
        <f t="shared" si="0"/>
        <v>9500</v>
      </c>
      <c r="F16" s="431">
        <v>113800</v>
      </c>
      <c r="G16" s="446">
        <f t="shared" si="1"/>
        <v>19000</v>
      </c>
      <c r="H16" s="431">
        <v>123200</v>
      </c>
      <c r="I16" s="446">
        <f t="shared" si="2"/>
        <v>28400</v>
      </c>
      <c r="J16" s="431">
        <v>132700</v>
      </c>
      <c r="K16" s="446">
        <f t="shared" si="3"/>
        <v>28400</v>
      </c>
      <c r="L16" s="447">
        <f t="shared" si="4"/>
        <v>9500</v>
      </c>
      <c r="M16" s="431">
        <v>142200</v>
      </c>
      <c r="N16" s="446">
        <f t="shared" si="5"/>
        <v>28400</v>
      </c>
      <c r="O16" s="447">
        <f t="shared" si="6"/>
        <v>19000</v>
      </c>
      <c r="P16" s="436">
        <v>156400</v>
      </c>
      <c r="Q16" s="446">
        <f t="shared" si="7"/>
        <v>28400</v>
      </c>
      <c r="R16" s="447">
        <f t="shared" si="8"/>
        <v>33200</v>
      </c>
      <c r="S16" s="436">
        <v>170600</v>
      </c>
      <c r="T16" s="446">
        <f t="shared" si="9"/>
        <v>28400</v>
      </c>
      <c r="U16" s="448">
        <f t="shared" si="10"/>
        <v>47400</v>
      </c>
      <c r="V16" s="439">
        <v>189600</v>
      </c>
      <c r="W16" s="446">
        <f t="shared" si="11"/>
        <v>28400</v>
      </c>
      <c r="X16" s="447">
        <f t="shared" si="12"/>
        <v>66400</v>
      </c>
      <c r="Y16" s="443">
        <v>213300</v>
      </c>
      <c r="Z16" s="446">
        <f t="shared" si="13"/>
        <v>28400</v>
      </c>
      <c r="AA16" s="447">
        <f t="shared" si="14"/>
        <v>90100</v>
      </c>
    </row>
    <row r="17" spans="1:27" ht="13" thickBot="1">
      <c r="A17" s="178"/>
      <c r="B17" s="23">
        <v>2</v>
      </c>
      <c r="C17" s="428">
        <v>102100</v>
      </c>
      <c r="D17" s="432">
        <v>112300</v>
      </c>
      <c r="E17" s="446">
        <f t="shared" si="0"/>
        <v>10200</v>
      </c>
      <c r="F17" s="432">
        <v>122500</v>
      </c>
      <c r="G17" s="446">
        <f t="shared" si="1"/>
        <v>20400</v>
      </c>
      <c r="H17" s="432">
        <v>132700</v>
      </c>
      <c r="I17" s="446">
        <f t="shared" si="2"/>
        <v>30600</v>
      </c>
      <c r="J17" s="432">
        <v>142900</v>
      </c>
      <c r="K17" s="446">
        <f t="shared" si="3"/>
        <v>30600</v>
      </c>
      <c r="L17" s="447">
        <f t="shared" si="4"/>
        <v>10200</v>
      </c>
      <c r="M17" s="432">
        <v>153200</v>
      </c>
      <c r="N17" s="446">
        <f t="shared" si="5"/>
        <v>30600</v>
      </c>
      <c r="O17" s="447">
        <f t="shared" si="6"/>
        <v>20500</v>
      </c>
      <c r="P17" s="38">
        <v>168500</v>
      </c>
      <c r="Q17" s="446">
        <f t="shared" si="7"/>
        <v>30600</v>
      </c>
      <c r="R17" s="447">
        <f t="shared" si="8"/>
        <v>35800</v>
      </c>
      <c r="S17" s="38">
        <v>183800</v>
      </c>
      <c r="T17" s="446">
        <f t="shared" si="9"/>
        <v>30600</v>
      </c>
      <c r="U17" s="448">
        <f t="shared" si="10"/>
        <v>51100</v>
      </c>
      <c r="V17" s="440">
        <v>204200</v>
      </c>
      <c r="W17" s="446">
        <f t="shared" si="11"/>
        <v>30600</v>
      </c>
      <c r="X17" s="447">
        <f t="shared" si="12"/>
        <v>71500</v>
      </c>
      <c r="Y17" s="444">
        <v>229700</v>
      </c>
      <c r="Z17" s="446">
        <f t="shared" si="13"/>
        <v>30600</v>
      </c>
      <c r="AA17" s="447">
        <f t="shared" si="14"/>
        <v>97000</v>
      </c>
    </row>
    <row r="18" spans="1:27" ht="13" thickBot="1">
      <c r="A18" s="178"/>
      <c r="B18" s="23">
        <v>3</v>
      </c>
      <c r="C18" s="428">
        <v>109500</v>
      </c>
      <c r="D18" s="432">
        <v>120500</v>
      </c>
      <c r="E18" s="446">
        <f t="shared" si="0"/>
        <v>11000</v>
      </c>
      <c r="F18" s="432">
        <v>131400</v>
      </c>
      <c r="G18" s="446">
        <f t="shared" si="1"/>
        <v>21900</v>
      </c>
      <c r="H18" s="432">
        <v>142400</v>
      </c>
      <c r="I18" s="446">
        <f t="shared" si="2"/>
        <v>32900</v>
      </c>
      <c r="J18" s="432">
        <v>153300</v>
      </c>
      <c r="K18" s="446">
        <f t="shared" si="3"/>
        <v>32900</v>
      </c>
      <c r="L18" s="447">
        <f t="shared" si="4"/>
        <v>10900</v>
      </c>
      <c r="M18" s="432">
        <v>164300</v>
      </c>
      <c r="N18" s="446">
        <f t="shared" si="5"/>
        <v>32900</v>
      </c>
      <c r="O18" s="447">
        <f t="shared" si="6"/>
        <v>21900</v>
      </c>
      <c r="P18" s="38">
        <v>180700</v>
      </c>
      <c r="Q18" s="446">
        <f t="shared" si="7"/>
        <v>32900</v>
      </c>
      <c r="R18" s="447">
        <f t="shared" si="8"/>
        <v>38300</v>
      </c>
      <c r="S18" s="38">
        <v>197100</v>
      </c>
      <c r="T18" s="446">
        <f t="shared" si="9"/>
        <v>32900</v>
      </c>
      <c r="U18" s="448">
        <f t="shared" si="10"/>
        <v>54700</v>
      </c>
      <c r="V18" s="440">
        <v>219000</v>
      </c>
      <c r="W18" s="446">
        <f t="shared" si="11"/>
        <v>32900</v>
      </c>
      <c r="X18" s="447">
        <f t="shared" si="12"/>
        <v>76600</v>
      </c>
      <c r="Y18" s="444">
        <v>246400</v>
      </c>
      <c r="Z18" s="446">
        <f t="shared" si="13"/>
        <v>32900</v>
      </c>
      <c r="AA18" s="447">
        <f t="shared" si="14"/>
        <v>104000</v>
      </c>
    </row>
    <row r="19" spans="1:27" ht="13" thickBot="1">
      <c r="A19" s="178"/>
      <c r="B19" s="23">
        <v>4</v>
      </c>
      <c r="C19" s="428">
        <v>117500</v>
      </c>
      <c r="D19" s="432">
        <v>129300</v>
      </c>
      <c r="E19" s="446">
        <f t="shared" si="0"/>
        <v>11800</v>
      </c>
      <c r="F19" s="432">
        <v>141000</v>
      </c>
      <c r="G19" s="446">
        <f t="shared" si="1"/>
        <v>23500</v>
      </c>
      <c r="H19" s="432">
        <v>152800</v>
      </c>
      <c r="I19" s="446">
        <f t="shared" si="2"/>
        <v>35300</v>
      </c>
      <c r="J19" s="432">
        <v>164500</v>
      </c>
      <c r="K19" s="446">
        <f t="shared" si="3"/>
        <v>35300</v>
      </c>
      <c r="L19" s="447">
        <f t="shared" si="4"/>
        <v>11700</v>
      </c>
      <c r="M19" s="432">
        <v>176300</v>
      </c>
      <c r="N19" s="446">
        <f t="shared" si="5"/>
        <v>35300</v>
      </c>
      <c r="O19" s="447">
        <f t="shared" si="6"/>
        <v>23500</v>
      </c>
      <c r="P19" s="38">
        <v>193900</v>
      </c>
      <c r="Q19" s="446">
        <f t="shared" si="7"/>
        <v>35300</v>
      </c>
      <c r="R19" s="447">
        <f t="shared" si="8"/>
        <v>41100</v>
      </c>
      <c r="S19" s="38">
        <v>211500</v>
      </c>
      <c r="T19" s="446">
        <f t="shared" si="9"/>
        <v>35300</v>
      </c>
      <c r="U19" s="448">
        <f t="shared" si="10"/>
        <v>58700</v>
      </c>
      <c r="V19" s="440">
        <v>235000</v>
      </c>
      <c r="W19" s="446">
        <f t="shared" si="11"/>
        <v>35300</v>
      </c>
      <c r="X19" s="447">
        <f t="shared" si="12"/>
        <v>82200</v>
      </c>
      <c r="Y19" s="444">
        <v>264400</v>
      </c>
      <c r="Z19" s="446">
        <f t="shared" si="13"/>
        <v>35300</v>
      </c>
      <c r="AA19" s="447">
        <f t="shared" si="14"/>
        <v>111600</v>
      </c>
    </row>
    <row r="20" spans="1:27" ht="13" thickBot="1">
      <c r="A20" s="178"/>
      <c r="B20" s="23">
        <v>5</v>
      </c>
      <c r="C20" s="428">
        <v>125900</v>
      </c>
      <c r="D20" s="432">
        <v>138500</v>
      </c>
      <c r="E20" s="446">
        <f t="shared" si="0"/>
        <v>12600</v>
      </c>
      <c r="F20" s="432">
        <v>151100</v>
      </c>
      <c r="G20" s="446">
        <f t="shared" si="1"/>
        <v>25200</v>
      </c>
      <c r="H20" s="432">
        <v>163700</v>
      </c>
      <c r="I20" s="446">
        <f t="shared" si="2"/>
        <v>37800</v>
      </c>
      <c r="J20" s="432">
        <v>176300</v>
      </c>
      <c r="K20" s="446">
        <f t="shared" si="3"/>
        <v>37800</v>
      </c>
      <c r="L20" s="447">
        <f t="shared" si="4"/>
        <v>12600</v>
      </c>
      <c r="M20" s="432">
        <v>188900</v>
      </c>
      <c r="N20" s="446">
        <f t="shared" si="5"/>
        <v>37800</v>
      </c>
      <c r="O20" s="447">
        <f t="shared" si="6"/>
        <v>25200</v>
      </c>
      <c r="P20" s="38">
        <v>207700</v>
      </c>
      <c r="Q20" s="446">
        <f t="shared" si="7"/>
        <v>37800</v>
      </c>
      <c r="R20" s="447">
        <f t="shared" si="8"/>
        <v>44000</v>
      </c>
      <c r="S20" s="38">
        <v>226600</v>
      </c>
      <c r="T20" s="446">
        <f t="shared" si="9"/>
        <v>37800</v>
      </c>
      <c r="U20" s="448">
        <f t="shared" si="10"/>
        <v>62900</v>
      </c>
      <c r="V20" s="440">
        <v>251800</v>
      </c>
      <c r="W20" s="446">
        <f t="shared" si="11"/>
        <v>37800</v>
      </c>
      <c r="X20" s="447">
        <f t="shared" si="12"/>
        <v>88100</v>
      </c>
      <c r="Y20" s="444">
        <v>283300</v>
      </c>
      <c r="Z20" s="446">
        <f t="shared" si="13"/>
        <v>37800</v>
      </c>
      <c r="AA20" s="447">
        <f t="shared" si="14"/>
        <v>119600</v>
      </c>
    </row>
    <row r="21" spans="1:27" ht="13" thickBot="1">
      <c r="A21" s="178"/>
      <c r="B21" s="23">
        <v>6</v>
      </c>
      <c r="C21" s="428">
        <v>136300</v>
      </c>
      <c r="D21" s="432">
        <v>149900</v>
      </c>
      <c r="E21" s="446">
        <f t="shared" si="0"/>
        <v>13600</v>
      </c>
      <c r="F21" s="432">
        <v>163600</v>
      </c>
      <c r="G21" s="446">
        <f t="shared" si="1"/>
        <v>27300</v>
      </c>
      <c r="H21" s="432">
        <v>177200</v>
      </c>
      <c r="I21" s="446">
        <f t="shared" si="2"/>
        <v>40900</v>
      </c>
      <c r="J21" s="432">
        <v>190800</v>
      </c>
      <c r="K21" s="446">
        <f t="shared" si="3"/>
        <v>40900</v>
      </c>
      <c r="L21" s="447">
        <f t="shared" si="4"/>
        <v>13600</v>
      </c>
      <c r="M21" s="432">
        <v>204500</v>
      </c>
      <c r="N21" s="446">
        <f t="shared" si="5"/>
        <v>40900</v>
      </c>
      <c r="O21" s="447">
        <f t="shared" si="6"/>
        <v>27300</v>
      </c>
      <c r="P21" s="38">
        <v>224900</v>
      </c>
      <c r="Q21" s="446">
        <f t="shared" si="7"/>
        <v>40900</v>
      </c>
      <c r="R21" s="447">
        <f t="shared" si="8"/>
        <v>47700</v>
      </c>
      <c r="S21" s="38">
        <v>245300</v>
      </c>
      <c r="T21" s="446">
        <f t="shared" si="9"/>
        <v>40900</v>
      </c>
      <c r="U21" s="448">
        <f t="shared" si="10"/>
        <v>68100</v>
      </c>
      <c r="V21" s="440">
        <v>272600</v>
      </c>
      <c r="W21" s="446">
        <f t="shared" si="11"/>
        <v>40900</v>
      </c>
      <c r="X21" s="447">
        <f t="shared" si="12"/>
        <v>95400</v>
      </c>
      <c r="Y21" s="444">
        <v>306700</v>
      </c>
      <c r="Z21" s="446">
        <f t="shared" si="13"/>
        <v>40900</v>
      </c>
      <c r="AA21" s="447">
        <f t="shared" si="14"/>
        <v>129500</v>
      </c>
    </row>
    <row r="22" spans="1:27" ht="13" thickBot="1">
      <c r="A22" s="178"/>
      <c r="B22" s="23">
        <v>7</v>
      </c>
      <c r="C22" s="428">
        <v>147500</v>
      </c>
      <c r="D22" s="432">
        <v>162300</v>
      </c>
      <c r="E22" s="446">
        <f t="shared" si="0"/>
        <v>14800</v>
      </c>
      <c r="F22" s="432">
        <v>177000</v>
      </c>
      <c r="G22" s="446">
        <f t="shared" si="1"/>
        <v>29500</v>
      </c>
      <c r="H22" s="432">
        <v>191800</v>
      </c>
      <c r="I22" s="446">
        <f t="shared" si="2"/>
        <v>44300</v>
      </c>
      <c r="J22" s="432">
        <v>206500</v>
      </c>
      <c r="K22" s="446">
        <f t="shared" si="3"/>
        <v>44300</v>
      </c>
      <c r="L22" s="447">
        <f t="shared" si="4"/>
        <v>14700</v>
      </c>
      <c r="M22" s="432">
        <v>221300</v>
      </c>
      <c r="N22" s="446">
        <f t="shared" si="5"/>
        <v>44300</v>
      </c>
      <c r="O22" s="447">
        <f t="shared" si="6"/>
        <v>29500</v>
      </c>
      <c r="P22" s="38">
        <v>243400</v>
      </c>
      <c r="Q22" s="446">
        <f t="shared" si="7"/>
        <v>44300</v>
      </c>
      <c r="R22" s="447">
        <f t="shared" si="8"/>
        <v>51600</v>
      </c>
      <c r="S22" s="38">
        <v>265500</v>
      </c>
      <c r="T22" s="446">
        <f t="shared" si="9"/>
        <v>44300</v>
      </c>
      <c r="U22" s="448">
        <f t="shared" si="10"/>
        <v>73700</v>
      </c>
      <c r="V22" s="440">
        <v>295000</v>
      </c>
      <c r="W22" s="446">
        <f t="shared" si="11"/>
        <v>44300</v>
      </c>
      <c r="X22" s="447">
        <f t="shared" si="12"/>
        <v>103200</v>
      </c>
      <c r="Y22" s="444">
        <v>331900</v>
      </c>
      <c r="Z22" s="446">
        <f t="shared" si="13"/>
        <v>44300</v>
      </c>
      <c r="AA22" s="447">
        <f t="shared" si="14"/>
        <v>140100</v>
      </c>
    </row>
    <row r="23" spans="1:27" ht="13" thickBot="1">
      <c r="A23" s="361"/>
      <c r="B23" s="363">
        <v>8</v>
      </c>
      <c r="C23" s="429">
        <v>159700</v>
      </c>
      <c r="D23" s="433">
        <v>175700</v>
      </c>
      <c r="E23" s="446">
        <f t="shared" si="0"/>
        <v>16000</v>
      </c>
      <c r="F23" s="433">
        <v>191600</v>
      </c>
      <c r="G23" s="446">
        <f t="shared" si="1"/>
        <v>31900</v>
      </c>
      <c r="H23" s="433">
        <v>207600</v>
      </c>
      <c r="I23" s="446">
        <f t="shared" si="2"/>
        <v>47900</v>
      </c>
      <c r="J23" s="433">
        <v>223600</v>
      </c>
      <c r="K23" s="446">
        <f t="shared" si="3"/>
        <v>47900</v>
      </c>
      <c r="L23" s="447">
        <f t="shared" si="4"/>
        <v>16000</v>
      </c>
      <c r="M23" s="433">
        <v>239600</v>
      </c>
      <c r="N23" s="446">
        <f t="shared" si="5"/>
        <v>47900</v>
      </c>
      <c r="O23" s="447">
        <f t="shared" si="6"/>
        <v>32000</v>
      </c>
      <c r="P23" s="437">
        <v>263500</v>
      </c>
      <c r="Q23" s="446">
        <f t="shared" si="7"/>
        <v>47900</v>
      </c>
      <c r="R23" s="447">
        <f t="shared" si="8"/>
        <v>55900</v>
      </c>
      <c r="S23" s="437">
        <v>287500</v>
      </c>
      <c r="T23" s="446">
        <f t="shared" si="9"/>
        <v>47900</v>
      </c>
      <c r="U23" s="448">
        <f t="shared" si="10"/>
        <v>79900</v>
      </c>
      <c r="V23" s="440">
        <v>319400</v>
      </c>
      <c r="W23" s="446">
        <f t="shared" si="11"/>
        <v>47900</v>
      </c>
      <c r="X23" s="447">
        <f t="shared" si="12"/>
        <v>111800</v>
      </c>
      <c r="Y23" s="444">
        <v>359300</v>
      </c>
      <c r="Z23" s="446">
        <f t="shared" si="13"/>
        <v>47900</v>
      </c>
      <c r="AA23" s="447">
        <f t="shared" si="14"/>
        <v>151700</v>
      </c>
    </row>
    <row r="24" spans="1:27" ht="13" thickBot="1">
      <c r="A24" s="366"/>
      <c r="B24" s="400">
        <v>9</v>
      </c>
      <c r="C24" s="429">
        <v>173000</v>
      </c>
      <c r="D24" s="433">
        <v>190300</v>
      </c>
      <c r="E24" s="446">
        <f t="shared" si="0"/>
        <v>17300</v>
      </c>
      <c r="F24" s="434">
        <v>207600</v>
      </c>
      <c r="G24" s="446">
        <f t="shared" si="1"/>
        <v>34600</v>
      </c>
      <c r="H24" s="434">
        <v>224900</v>
      </c>
      <c r="I24" s="446">
        <f t="shared" si="2"/>
        <v>51900</v>
      </c>
      <c r="J24" s="434">
        <v>242200</v>
      </c>
      <c r="K24" s="446">
        <f t="shared" si="3"/>
        <v>51900</v>
      </c>
      <c r="L24" s="447">
        <f t="shared" si="4"/>
        <v>17300</v>
      </c>
      <c r="M24" s="434">
        <v>259500</v>
      </c>
      <c r="N24" s="446">
        <f t="shared" si="5"/>
        <v>51900</v>
      </c>
      <c r="O24" s="447">
        <f t="shared" si="6"/>
        <v>34600</v>
      </c>
      <c r="P24" s="434">
        <v>285500</v>
      </c>
      <c r="Q24" s="446">
        <f t="shared" si="7"/>
        <v>51900</v>
      </c>
      <c r="R24" s="447">
        <f t="shared" si="8"/>
        <v>60600</v>
      </c>
      <c r="S24" s="434">
        <v>311400</v>
      </c>
      <c r="T24" s="446">
        <f t="shared" si="9"/>
        <v>51900</v>
      </c>
      <c r="U24" s="448">
        <f t="shared" si="10"/>
        <v>86500</v>
      </c>
      <c r="V24" s="440">
        <v>346000</v>
      </c>
      <c r="W24" s="446">
        <f t="shared" si="11"/>
        <v>51900</v>
      </c>
      <c r="X24" s="447">
        <f t="shared" si="12"/>
        <v>121100</v>
      </c>
      <c r="Y24" s="444">
        <v>389300</v>
      </c>
      <c r="Z24" s="446">
        <f t="shared" si="13"/>
        <v>51900</v>
      </c>
      <c r="AA24" s="447">
        <f t="shared" si="14"/>
        <v>164400</v>
      </c>
    </row>
    <row r="25" spans="1:27" s="326" customFormat="1" ht="13" thickBot="1">
      <c r="A25" s="536" t="s">
        <v>196</v>
      </c>
      <c r="B25" s="537" t="s">
        <v>197</v>
      </c>
      <c r="C25" s="535">
        <v>181700</v>
      </c>
      <c r="D25" s="535">
        <v>199800</v>
      </c>
      <c r="E25" s="535">
        <f t="shared" si="0"/>
        <v>18100</v>
      </c>
      <c r="F25" s="535">
        <v>218000</v>
      </c>
      <c r="G25" s="535">
        <f t="shared" si="1"/>
        <v>36300</v>
      </c>
      <c r="H25" s="535">
        <v>236100</v>
      </c>
      <c r="I25" s="535">
        <f t="shared" si="2"/>
        <v>54400</v>
      </c>
      <c r="J25" s="535">
        <v>254300</v>
      </c>
      <c r="K25" s="535">
        <f t="shared" si="3"/>
        <v>54400</v>
      </c>
      <c r="L25" s="535">
        <f t="shared" si="4"/>
        <v>18200</v>
      </c>
      <c r="M25" s="535">
        <v>272500</v>
      </c>
      <c r="N25" s="535">
        <f t="shared" si="5"/>
        <v>54400</v>
      </c>
      <c r="O25" s="535">
        <f t="shared" si="6"/>
        <v>36400</v>
      </c>
      <c r="P25" s="535">
        <v>299800</v>
      </c>
      <c r="Q25" s="535">
        <f t="shared" si="7"/>
        <v>54400</v>
      </c>
      <c r="R25" s="535">
        <f t="shared" si="8"/>
        <v>63700</v>
      </c>
      <c r="S25" s="535">
        <f>ROUND(S24*1.05,-2)</f>
        <v>327000</v>
      </c>
      <c r="T25" s="535">
        <f t="shared" si="9"/>
        <v>54400</v>
      </c>
      <c r="U25" s="448">
        <f t="shared" si="10"/>
        <v>90900</v>
      </c>
      <c r="V25" s="535">
        <f>ROUND(V24*1.05,-2)</f>
        <v>363300</v>
      </c>
      <c r="W25" s="535">
        <f t="shared" si="11"/>
        <v>54400</v>
      </c>
      <c r="X25" s="447">
        <f t="shared" si="12"/>
        <v>127200</v>
      </c>
      <c r="Y25" s="535">
        <f>ROUND(Y24*1.05,-2)</f>
        <v>408800</v>
      </c>
      <c r="Z25" s="535">
        <f t="shared" si="13"/>
        <v>54400</v>
      </c>
      <c r="AA25" s="447">
        <f t="shared" si="14"/>
        <v>172700</v>
      </c>
    </row>
    <row r="26" spans="1:27" ht="13" thickBot="1"/>
    <row r="27" spans="1:27" ht="13" thickBot="1">
      <c r="D27" s="43" t="s">
        <v>26</v>
      </c>
      <c r="E27" s="44"/>
      <c r="F27" s="44"/>
      <c r="G27" s="44"/>
      <c r="H27" s="44"/>
      <c r="I27" s="44"/>
      <c r="J27" s="44"/>
      <c r="K27" s="387"/>
      <c r="L27" s="45"/>
      <c r="M27" s="44" t="s">
        <v>27</v>
      </c>
      <c r="N27" s="44"/>
      <c r="O27" s="44"/>
      <c r="P27" s="386"/>
      <c r="Q27" s="44"/>
      <c r="R27" s="44"/>
      <c r="S27" s="45"/>
    </row>
    <row r="28" spans="1:27">
      <c r="A28" s="20"/>
      <c r="B28" s="20"/>
      <c r="C28" s="25" t="s">
        <v>18</v>
      </c>
      <c r="D28" s="26" t="s">
        <v>19</v>
      </c>
      <c r="E28" s="30" t="s">
        <v>19</v>
      </c>
      <c r="F28" s="30" t="s">
        <v>19</v>
      </c>
      <c r="G28" s="30" t="s">
        <v>19</v>
      </c>
      <c r="H28" s="30" t="s">
        <v>19</v>
      </c>
      <c r="I28" s="30" t="s">
        <v>19</v>
      </c>
      <c r="J28" s="31" t="s">
        <v>19</v>
      </c>
      <c r="K28" s="30" t="s">
        <v>19</v>
      </c>
      <c r="L28" s="27" t="s">
        <v>19</v>
      </c>
      <c r="M28" s="31" t="s">
        <v>19</v>
      </c>
      <c r="N28" s="31" t="s">
        <v>19</v>
      </c>
      <c r="O28" s="31" t="s">
        <v>19</v>
      </c>
      <c r="P28" s="30" t="s">
        <v>19</v>
      </c>
      <c r="Q28" s="30" t="s">
        <v>19</v>
      </c>
      <c r="R28" s="27" t="s">
        <v>19</v>
      </c>
      <c r="S28" s="29"/>
    </row>
    <row r="29" spans="1:27" ht="13" thickBot="1">
      <c r="A29" s="34" t="s">
        <v>20</v>
      </c>
      <c r="B29" s="21" t="s">
        <v>21</v>
      </c>
      <c r="C29" s="180" t="s">
        <v>19</v>
      </c>
      <c r="D29" s="390">
        <v>1</v>
      </c>
      <c r="E29" s="189">
        <v>2</v>
      </c>
      <c r="F29" s="189">
        <v>3</v>
      </c>
      <c r="G29" s="189">
        <v>4</v>
      </c>
      <c r="H29" s="189">
        <v>5</v>
      </c>
      <c r="I29" s="189">
        <v>6</v>
      </c>
      <c r="J29" s="189">
        <v>7</v>
      </c>
      <c r="K29" s="187">
        <v>8</v>
      </c>
      <c r="L29" s="185">
        <v>9</v>
      </c>
      <c r="M29" s="278">
        <v>4</v>
      </c>
      <c r="N29" s="277">
        <v>5</v>
      </c>
      <c r="O29" s="277">
        <v>6</v>
      </c>
      <c r="P29" s="278">
        <v>7</v>
      </c>
      <c r="Q29" s="278">
        <v>8</v>
      </c>
      <c r="R29" s="195">
        <v>9</v>
      </c>
      <c r="S29" s="33"/>
    </row>
    <row r="30" spans="1:27" ht="13" thickBot="1">
      <c r="A30" s="42" t="s">
        <v>22</v>
      </c>
      <c r="B30" s="280" t="s">
        <v>85</v>
      </c>
      <c r="C30" s="181">
        <f>C4</f>
        <v>55900</v>
      </c>
      <c r="D30" s="188">
        <f>E4</f>
        <v>5600</v>
      </c>
      <c r="E30" s="188">
        <f>G4</f>
        <v>11200</v>
      </c>
      <c r="F30" s="188">
        <f>I4</f>
        <v>16800</v>
      </c>
      <c r="G30" s="188">
        <f>K4</f>
        <v>16800</v>
      </c>
      <c r="H30" s="188">
        <f>N4</f>
        <v>16800</v>
      </c>
      <c r="I30" s="188">
        <f>Q4</f>
        <v>16800</v>
      </c>
      <c r="J30" s="362">
        <f>T4</f>
        <v>16800</v>
      </c>
      <c r="K30" s="188">
        <f>W4</f>
        <v>16800</v>
      </c>
      <c r="L30" s="186">
        <f>Z4</f>
        <v>16800</v>
      </c>
      <c r="M30" s="388">
        <f>L4</f>
        <v>5600</v>
      </c>
      <c r="N30" s="388">
        <f>O4</f>
        <v>11200</v>
      </c>
      <c r="O30" s="389">
        <f>R4</f>
        <v>19500</v>
      </c>
      <c r="P30" s="279">
        <f>U4</f>
        <v>27900</v>
      </c>
      <c r="Q30" s="389">
        <f>X4</f>
        <v>39100</v>
      </c>
      <c r="R30" s="194">
        <f>AA4</f>
        <v>53100</v>
      </c>
      <c r="S30" s="391"/>
    </row>
    <row r="31" spans="1:27">
      <c r="A31" t="s">
        <v>29</v>
      </c>
      <c r="B31">
        <f>OnScaleCalc!E32</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c r="A32" t="s">
        <v>83</v>
      </c>
      <c r="B32">
        <f>IF(AND(Associate="",Prof="",Assistant=""),Scale,0)</f>
        <v>0</v>
      </c>
    </row>
    <row r="33" spans="1:19" ht="13" thickBot="1">
      <c r="A33" s="46" t="s">
        <v>28</v>
      </c>
      <c r="C33" s="203" t="s">
        <v>2</v>
      </c>
      <c r="D33" s="204">
        <v>1</v>
      </c>
      <c r="E33" s="204">
        <v>2</v>
      </c>
      <c r="F33" s="204">
        <v>3</v>
      </c>
      <c r="G33" s="204">
        <v>4</v>
      </c>
      <c r="H33" s="204">
        <v>5</v>
      </c>
      <c r="I33" s="204">
        <v>6</v>
      </c>
      <c r="J33" s="204">
        <v>7</v>
      </c>
      <c r="K33" s="204">
        <v>8</v>
      </c>
      <c r="L33" s="185">
        <v>9</v>
      </c>
      <c r="M33" s="199">
        <v>4</v>
      </c>
      <c r="N33" s="199">
        <v>5</v>
      </c>
      <c r="O33" s="199">
        <v>6</v>
      </c>
      <c r="P33" s="199">
        <v>7</v>
      </c>
      <c r="Q33" s="199">
        <v>8</v>
      </c>
      <c r="R33" s="193">
        <v>9</v>
      </c>
    </row>
    <row r="34" spans="1:19">
      <c r="A34" s="15" t="s">
        <v>23</v>
      </c>
      <c r="B34" s="22">
        <v>1</v>
      </c>
      <c r="C34" s="182">
        <f t="shared" ref="C34:C39" si="15">C5</f>
        <v>64900</v>
      </c>
      <c r="D34" s="190">
        <f t="shared" ref="D34:D39" si="16">E5</f>
        <v>6500</v>
      </c>
      <c r="E34" s="190">
        <f t="shared" ref="E34:E39" si="17">G5</f>
        <v>13000</v>
      </c>
      <c r="F34" s="190">
        <f t="shared" ref="F34:F39" si="18">I5</f>
        <v>19500</v>
      </c>
      <c r="G34" s="190">
        <f t="shared" ref="G34:G39" si="19">K5</f>
        <v>19500</v>
      </c>
      <c r="H34" s="190">
        <f t="shared" ref="H34:H39" si="20">N5</f>
        <v>19500</v>
      </c>
      <c r="I34" s="190">
        <f t="shared" ref="I34:I39" si="21">Q5</f>
        <v>19500</v>
      </c>
      <c r="J34" s="392">
        <f t="shared" ref="J34:J39" si="22">T5</f>
        <v>19500</v>
      </c>
      <c r="K34" s="190">
        <f t="shared" ref="K34:K39" si="23">W5</f>
        <v>19500</v>
      </c>
      <c r="L34" s="205">
        <f t="shared" ref="L34:L39" si="24">Z5</f>
        <v>19500</v>
      </c>
      <c r="M34" s="395">
        <f t="shared" ref="M34:M39" si="25">L5</f>
        <v>6500</v>
      </c>
      <c r="N34" s="200">
        <f t="shared" ref="N34:N39" si="26">O5</f>
        <v>13000</v>
      </c>
      <c r="O34" s="200">
        <f t="shared" ref="O34:O39" si="27">R5</f>
        <v>22700</v>
      </c>
      <c r="P34" s="200">
        <f t="shared" ref="P34:P39" si="28">U5</f>
        <v>32400</v>
      </c>
      <c r="Q34" s="200">
        <f t="shared" ref="Q34:Q39" si="29">X5</f>
        <v>45400</v>
      </c>
      <c r="R34" s="196">
        <f t="shared" ref="R34:R39" si="30">AA5</f>
        <v>61600</v>
      </c>
      <c r="S34" s="398"/>
    </row>
    <row r="35" spans="1:19">
      <c r="A35" s="17"/>
      <c r="B35" s="23">
        <v>2</v>
      </c>
      <c r="C35" s="183">
        <f t="shared" si="15"/>
        <v>68700</v>
      </c>
      <c r="D35" s="191">
        <f t="shared" si="16"/>
        <v>6900</v>
      </c>
      <c r="E35" s="191">
        <f t="shared" si="17"/>
        <v>13700</v>
      </c>
      <c r="F35" s="191">
        <f t="shared" si="18"/>
        <v>20600</v>
      </c>
      <c r="G35" s="191">
        <f t="shared" si="19"/>
        <v>20600</v>
      </c>
      <c r="H35" s="191">
        <f t="shared" si="20"/>
        <v>20600</v>
      </c>
      <c r="I35" s="191">
        <f t="shared" si="21"/>
        <v>20600</v>
      </c>
      <c r="J35" s="393">
        <f t="shared" si="22"/>
        <v>20600</v>
      </c>
      <c r="K35" s="191">
        <f t="shared" si="23"/>
        <v>20600</v>
      </c>
      <c r="L35" s="207">
        <f t="shared" si="24"/>
        <v>20600</v>
      </c>
      <c r="M35" s="396">
        <f t="shared" si="25"/>
        <v>6900</v>
      </c>
      <c r="N35" s="201">
        <f t="shared" si="26"/>
        <v>13800</v>
      </c>
      <c r="O35" s="201">
        <f t="shared" si="27"/>
        <v>24100</v>
      </c>
      <c r="P35" s="201">
        <f t="shared" si="28"/>
        <v>34400</v>
      </c>
      <c r="Q35" s="201">
        <f t="shared" si="29"/>
        <v>48100</v>
      </c>
      <c r="R35" s="197">
        <f t="shared" si="30"/>
        <v>65300</v>
      </c>
      <c r="S35" s="399"/>
    </row>
    <row r="36" spans="1:19">
      <c r="A36" s="17"/>
      <c r="B36" s="23">
        <v>3</v>
      </c>
      <c r="C36" s="183">
        <f t="shared" si="15"/>
        <v>72500</v>
      </c>
      <c r="D36" s="191">
        <f t="shared" si="16"/>
        <v>7300</v>
      </c>
      <c r="E36" s="191">
        <f t="shared" si="17"/>
        <v>14500</v>
      </c>
      <c r="F36" s="191">
        <f t="shared" si="18"/>
        <v>21800</v>
      </c>
      <c r="G36" s="191">
        <f t="shared" si="19"/>
        <v>21800</v>
      </c>
      <c r="H36" s="191">
        <f t="shared" si="20"/>
        <v>21800</v>
      </c>
      <c r="I36" s="191">
        <f t="shared" si="21"/>
        <v>21800</v>
      </c>
      <c r="J36" s="393">
        <f t="shared" si="22"/>
        <v>21800</v>
      </c>
      <c r="K36" s="191">
        <f t="shared" si="23"/>
        <v>21800</v>
      </c>
      <c r="L36" s="207">
        <f t="shared" si="24"/>
        <v>21800</v>
      </c>
      <c r="M36" s="396">
        <f t="shared" si="25"/>
        <v>7200</v>
      </c>
      <c r="N36" s="201">
        <f t="shared" si="26"/>
        <v>14500</v>
      </c>
      <c r="O36" s="201">
        <f t="shared" si="27"/>
        <v>25300</v>
      </c>
      <c r="P36" s="201">
        <f t="shared" si="28"/>
        <v>36200</v>
      </c>
      <c r="Q36" s="201">
        <f t="shared" si="29"/>
        <v>50700</v>
      </c>
      <c r="R36" s="197">
        <f t="shared" si="30"/>
        <v>68800</v>
      </c>
      <c r="S36" s="399"/>
    </row>
    <row r="37" spans="1:19">
      <c r="A37" s="17"/>
      <c r="B37" s="23">
        <v>4</v>
      </c>
      <c r="C37" s="183">
        <f t="shared" si="15"/>
        <v>76700</v>
      </c>
      <c r="D37" s="191">
        <f t="shared" si="16"/>
        <v>7700</v>
      </c>
      <c r="E37" s="191">
        <f t="shared" si="17"/>
        <v>15300</v>
      </c>
      <c r="F37" s="191">
        <f t="shared" si="18"/>
        <v>23000</v>
      </c>
      <c r="G37" s="191">
        <f t="shared" si="19"/>
        <v>23000</v>
      </c>
      <c r="H37" s="191">
        <f t="shared" si="20"/>
        <v>23000</v>
      </c>
      <c r="I37" s="191">
        <f t="shared" si="21"/>
        <v>23000</v>
      </c>
      <c r="J37" s="393">
        <f t="shared" si="22"/>
        <v>23000</v>
      </c>
      <c r="K37" s="191">
        <f t="shared" si="23"/>
        <v>23000</v>
      </c>
      <c r="L37" s="207">
        <f t="shared" si="24"/>
        <v>23000</v>
      </c>
      <c r="M37" s="396">
        <f t="shared" si="25"/>
        <v>7700</v>
      </c>
      <c r="N37" s="201">
        <f t="shared" si="26"/>
        <v>15400</v>
      </c>
      <c r="O37" s="201">
        <f t="shared" si="27"/>
        <v>26900</v>
      </c>
      <c r="P37" s="201">
        <f t="shared" si="28"/>
        <v>38400</v>
      </c>
      <c r="Q37" s="201">
        <f t="shared" si="29"/>
        <v>53700</v>
      </c>
      <c r="R37" s="197">
        <f t="shared" si="30"/>
        <v>72900</v>
      </c>
      <c r="S37" s="399"/>
    </row>
    <row r="38" spans="1:19">
      <c r="A38" s="17"/>
      <c r="B38" s="23">
        <v>5</v>
      </c>
      <c r="C38" s="183">
        <f t="shared" si="15"/>
        <v>80500</v>
      </c>
      <c r="D38" s="191">
        <f t="shared" si="16"/>
        <v>8100</v>
      </c>
      <c r="E38" s="191">
        <f t="shared" si="17"/>
        <v>16100</v>
      </c>
      <c r="F38" s="191">
        <f t="shared" si="18"/>
        <v>24200</v>
      </c>
      <c r="G38" s="191">
        <f t="shared" si="19"/>
        <v>24200</v>
      </c>
      <c r="H38" s="191">
        <f t="shared" si="20"/>
        <v>24200</v>
      </c>
      <c r="I38" s="191">
        <f t="shared" si="21"/>
        <v>24200</v>
      </c>
      <c r="J38" s="393">
        <f t="shared" si="22"/>
        <v>24200</v>
      </c>
      <c r="K38" s="191">
        <f t="shared" si="23"/>
        <v>24200</v>
      </c>
      <c r="L38" s="207">
        <f t="shared" si="24"/>
        <v>24200</v>
      </c>
      <c r="M38" s="396">
        <f t="shared" si="25"/>
        <v>8000</v>
      </c>
      <c r="N38" s="201">
        <f t="shared" si="26"/>
        <v>16100</v>
      </c>
      <c r="O38" s="201">
        <f t="shared" si="27"/>
        <v>28100</v>
      </c>
      <c r="P38" s="201">
        <f t="shared" si="28"/>
        <v>40200</v>
      </c>
      <c r="Q38" s="201">
        <f t="shared" si="29"/>
        <v>56300</v>
      </c>
      <c r="R38" s="197">
        <f t="shared" si="30"/>
        <v>76400</v>
      </c>
      <c r="S38" s="399"/>
    </row>
    <row r="39" spans="1:19" ht="13" thickBot="1">
      <c r="A39" s="19"/>
      <c r="B39" s="24">
        <v>6</v>
      </c>
      <c r="C39" s="184">
        <f t="shared" si="15"/>
        <v>84400</v>
      </c>
      <c r="D39" s="192">
        <f t="shared" si="16"/>
        <v>8400</v>
      </c>
      <c r="E39" s="192">
        <f t="shared" si="17"/>
        <v>16900</v>
      </c>
      <c r="F39" s="192">
        <f t="shared" si="18"/>
        <v>25300</v>
      </c>
      <c r="G39" s="192">
        <f t="shared" si="19"/>
        <v>25300</v>
      </c>
      <c r="H39" s="192">
        <f t="shared" si="20"/>
        <v>25300</v>
      </c>
      <c r="I39" s="192">
        <f t="shared" si="21"/>
        <v>25300</v>
      </c>
      <c r="J39" s="394">
        <f t="shared" si="22"/>
        <v>25300</v>
      </c>
      <c r="K39" s="192">
        <f t="shared" si="23"/>
        <v>25300</v>
      </c>
      <c r="L39" s="209">
        <f t="shared" si="24"/>
        <v>25300</v>
      </c>
      <c r="M39" s="397">
        <f t="shared" si="25"/>
        <v>8500</v>
      </c>
      <c r="N39" s="202">
        <f t="shared" si="26"/>
        <v>16900</v>
      </c>
      <c r="O39" s="202">
        <f t="shared" si="27"/>
        <v>29600</v>
      </c>
      <c r="P39" s="202">
        <f t="shared" si="28"/>
        <v>42200</v>
      </c>
      <c r="Q39" s="202">
        <f t="shared" si="29"/>
        <v>59100</v>
      </c>
      <c r="R39" s="198">
        <f t="shared" si="30"/>
        <v>80200</v>
      </c>
      <c r="S39" s="400"/>
    </row>
    <row r="40" spans="1:19">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c r="A41" t="s">
        <v>29</v>
      </c>
      <c r="B41">
        <f>OnScaleCalc!E33</f>
        <v>0</v>
      </c>
    </row>
    <row r="42" spans="1:19">
      <c r="A42" t="s">
        <v>1</v>
      </c>
      <c r="B42">
        <f>IF(AND(Associate="",Prof="",Instructor=""),Scale,0)</f>
        <v>0</v>
      </c>
    </row>
    <row r="45" spans="1:19" ht="13" thickBot="1">
      <c r="A45" s="46" t="s">
        <v>28</v>
      </c>
      <c r="C45" s="203" t="s">
        <v>2</v>
      </c>
      <c r="D45" s="204">
        <v>1</v>
      </c>
      <c r="E45" s="204">
        <v>2</v>
      </c>
      <c r="F45" s="204">
        <v>3</v>
      </c>
      <c r="G45" s="204">
        <v>4</v>
      </c>
      <c r="H45" s="204">
        <v>5</v>
      </c>
      <c r="I45" s="204">
        <v>6</v>
      </c>
      <c r="J45" s="204">
        <v>7</v>
      </c>
      <c r="K45" s="204">
        <v>8</v>
      </c>
      <c r="L45" s="185">
        <v>9</v>
      </c>
      <c r="M45" s="199">
        <v>4</v>
      </c>
      <c r="N45" s="199">
        <v>5</v>
      </c>
      <c r="O45" s="199">
        <v>6</v>
      </c>
      <c r="P45" s="199">
        <v>7</v>
      </c>
      <c r="Q45" s="199">
        <v>8</v>
      </c>
      <c r="R45" s="199">
        <v>9</v>
      </c>
    </row>
    <row r="46" spans="1:19">
      <c r="A46" s="15" t="s">
        <v>24</v>
      </c>
      <c r="B46" s="22">
        <v>1</v>
      </c>
      <c r="C46" s="182">
        <f>C11</f>
        <v>80600</v>
      </c>
      <c r="D46" s="190">
        <f>E11</f>
        <v>8100</v>
      </c>
      <c r="E46" s="190">
        <f>G11</f>
        <v>16100</v>
      </c>
      <c r="F46" s="190">
        <f>I11</f>
        <v>24200</v>
      </c>
      <c r="G46" s="190">
        <f>K11</f>
        <v>24200</v>
      </c>
      <c r="H46" s="190">
        <f>N11</f>
        <v>24200</v>
      </c>
      <c r="I46" s="206">
        <f>Q11</f>
        <v>24200</v>
      </c>
      <c r="J46" s="190">
        <f>T11</f>
        <v>24200</v>
      </c>
      <c r="K46" s="190">
        <f>W11</f>
        <v>24200</v>
      </c>
      <c r="L46" s="205">
        <f>Z11</f>
        <v>24200</v>
      </c>
      <c r="M46" s="395">
        <f>L11</f>
        <v>8000</v>
      </c>
      <c r="N46" s="200">
        <f>O11</f>
        <v>16100</v>
      </c>
      <c r="O46" s="200">
        <f>R11</f>
        <v>28200</v>
      </c>
      <c r="P46" s="200">
        <f>U11</f>
        <v>40300</v>
      </c>
      <c r="Q46" s="200">
        <f>X11</f>
        <v>56400</v>
      </c>
      <c r="R46" s="196">
        <f>AA11</f>
        <v>76600</v>
      </c>
      <c r="S46" s="398"/>
    </row>
    <row r="47" spans="1:19">
      <c r="A47" s="17"/>
      <c r="B47" s="23">
        <v>2</v>
      </c>
      <c r="C47" s="183">
        <f>C12</f>
        <v>84500</v>
      </c>
      <c r="D47" s="191">
        <f>E12</f>
        <v>8500</v>
      </c>
      <c r="E47" s="191">
        <f>G12</f>
        <v>16900</v>
      </c>
      <c r="F47" s="191">
        <f>I12</f>
        <v>25400</v>
      </c>
      <c r="G47" s="191">
        <f>K12</f>
        <v>25400</v>
      </c>
      <c r="H47" s="191">
        <f>N12</f>
        <v>25400</v>
      </c>
      <c r="I47" s="208">
        <f>Q12</f>
        <v>25400</v>
      </c>
      <c r="J47" s="191">
        <f>T12</f>
        <v>25400</v>
      </c>
      <c r="K47" s="191">
        <f>W12</f>
        <v>25400</v>
      </c>
      <c r="L47" s="207">
        <f>Z12</f>
        <v>25400</v>
      </c>
      <c r="M47" s="396">
        <f>L12</f>
        <v>8400</v>
      </c>
      <c r="N47" s="201">
        <f>O12</f>
        <v>16900</v>
      </c>
      <c r="O47" s="201">
        <f>R12</f>
        <v>29500</v>
      </c>
      <c r="P47" s="201">
        <f>U12</f>
        <v>42200</v>
      </c>
      <c r="Q47" s="201">
        <f>X12</f>
        <v>59100</v>
      </c>
      <c r="R47" s="197">
        <f>AA12</f>
        <v>80200</v>
      </c>
      <c r="S47" s="399"/>
    </row>
    <row r="48" spans="1:19">
      <c r="A48" s="17"/>
      <c r="B48" s="23">
        <v>3</v>
      </c>
      <c r="C48" s="183">
        <f>C13</f>
        <v>89100</v>
      </c>
      <c r="D48" s="191">
        <f>E13</f>
        <v>8900</v>
      </c>
      <c r="E48" s="191">
        <f>G13</f>
        <v>17800</v>
      </c>
      <c r="F48" s="191">
        <f>I13</f>
        <v>26700</v>
      </c>
      <c r="G48" s="191">
        <f>K13</f>
        <v>26700</v>
      </c>
      <c r="H48" s="191">
        <f>N13</f>
        <v>26700</v>
      </c>
      <c r="I48" s="208">
        <f>Q13</f>
        <v>26700</v>
      </c>
      <c r="J48" s="191">
        <f>T13</f>
        <v>26700</v>
      </c>
      <c r="K48" s="191">
        <f>W13</f>
        <v>26700</v>
      </c>
      <c r="L48" s="207">
        <f>Z13</f>
        <v>26700</v>
      </c>
      <c r="M48" s="396">
        <f>L13</f>
        <v>8900</v>
      </c>
      <c r="N48" s="201">
        <f>O13</f>
        <v>17900</v>
      </c>
      <c r="O48" s="201">
        <f>R13</f>
        <v>31200</v>
      </c>
      <c r="P48" s="201">
        <f>U13</f>
        <v>44600</v>
      </c>
      <c r="Q48" s="201">
        <f>X13</f>
        <v>62400</v>
      </c>
      <c r="R48" s="197">
        <f>AA13</f>
        <v>84700</v>
      </c>
      <c r="S48" s="399"/>
    </row>
    <row r="49" spans="1:19">
      <c r="A49" s="17"/>
      <c r="B49" s="23">
        <v>4</v>
      </c>
      <c r="C49" s="183">
        <f>C14</f>
        <v>94700</v>
      </c>
      <c r="D49" s="191">
        <f>E14</f>
        <v>9500</v>
      </c>
      <c r="E49" s="191">
        <f>G14</f>
        <v>18900</v>
      </c>
      <c r="F49" s="191">
        <f>I14</f>
        <v>28400</v>
      </c>
      <c r="G49" s="191">
        <f>K14</f>
        <v>28400</v>
      </c>
      <c r="H49" s="191">
        <f>N14</f>
        <v>28400</v>
      </c>
      <c r="I49" s="208">
        <f>Q14</f>
        <v>28400</v>
      </c>
      <c r="J49" s="191">
        <f>T14</f>
        <v>28400</v>
      </c>
      <c r="K49" s="191">
        <f>W14</f>
        <v>28400</v>
      </c>
      <c r="L49" s="207">
        <f>Z14</f>
        <v>28400</v>
      </c>
      <c r="M49" s="396">
        <f>L14</f>
        <v>9500</v>
      </c>
      <c r="N49" s="201">
        <f>O14</f>
        <v>19000</v>
      </c>
      <c r="O49" s="201">
        <f>R14</f>
        <v>33200</v>
      </c>
      <c r="P49" s="201">
        <f>U14</f>
        <v>47400</v>
      </c>
      <c r="Q49" s="201">
        <f>X14</f>
        <v>66300</v>
      </c>
      <c r="R49" s="197">
        <f>AA14</f>
        <v>90000</v>
      </c>
      <c r="S49" s="399"/>
    </row>
    <row r="50" spans="1:19" ht="13" thickBot="1">
      <c r="A50" s="19"/>
      <c r="B50" s="24">
        <v>5</v>
      </c>
      <c r="C50" s="184">
        <f>C15</f>
        <v>102000</v>
      </c>
      <c r="D50" s="192">
        <f>E15</f>
        <v>10200</v>
      </c>
      <c r="E50" s="192">
        <f>G15</f>
        <v>20400</v>
      </c>
      <c r="F50" s="192">
        <f>I15</f>
        <v>30600</v>
      </c>
      <c r="G50" s="192">
        <f>K15</f>
        <v>30600</v>
      </c>
      <c r="H50" s="192">
        <f>N15</f>
        <v>30600</v>
      </c>
      <c r="I50" s="210">
        <f>Q15</f>
        <v>30600</v>
      </c>
      <c r="J50" s="192">
        <f>T15</f>
        <v>30600</v>
      </c>
      <c r="K50" s="192">
        <f>W15</f>
        <v>30600</v>
      </c>
      <c r="L50" s="209">
        <f>Z15</f>
        <v>30600</v>
      </c>
      <c r="M50" s="397">
        <f>L15</f>
        <v>10200</v>
      </c>
      <c r="N50" s="202">
        <f>O15</f>
        <v>20400</v>
      </c>
      <c r="O50" s="202">
        <f>R15</f>
        <v>35700</v>
      </c>
      <c r="P50" s="202">
        <f>U15</f>
        <v>51000</v>
      </c>
      <c r="Q50" s="202">
        <f>X15</f>
        <v>71400</v>
      </c>
      <c r="R50" s="198">
        <f>AA15</f>
        <v>96900</v>
      </c>
      <c r="S50" s="400"/>
    </row>
    <row r="51" spans="1:19">
      <c r="C51" s="203"/>
      <c r="D51" s="203">
        <f>IF(Assoc_curr_scale=1,IF(Assoc_curr_step&lt;&gt;0,LOOKUP(Assoc_curr_step,AssocSteps,HST1_AP),0),0)</f>
        <v>0</v>
      </c>
      <c r="E51" s="203">
        <f>IF(Assoc_curr_scale=2,IF(Assoc_curr_step&lt;&gt;0,LOOKUP(Assoc_curr_step,AssocSteps,HST2_AP),0),0)</f>
        <v>0</v>
      </c>
      <c r="F51" s="203">
        <f>IF(Assoc_curr_scale=3,IF(Assoc_curr_step&lt;&gt;0,LOOKUP(Assoc_curr_step,AssocSteps,HST3_AP),0),0)</f>
        <v>0</v>
      </c>
      <c r="G51" s="203">
        <f>IF(Assoc_curr_scale=4,IF(Assoc_curr_step&lt;&gt;0,LOOKUP(Assoc_curr_step,AssocSteps,HST4_AP),0),0)</f>
        <v>0</v>
      </c>
      <c r="H51" s="203">
        <f>IF(Assoc_curr_scale=5,IF(Assoc_curr_step&lt;&gt;0,LOOKUP(Assoc_curr_step,AssocSteps,HST5_AP),0),0)</f>
        <v>0</v>
      </c>
      <c r="I51" s="203">
        <f>IF(Assoc_curr_scale=6,IF(Assoc_curr_step&lt;&gt;0,LOOKUP(Assoc_curr_step,AssocSteps,HST6_AP),0),0)</f>
        <v>0</v>
      </c>
      <c r="J51" s="203">
        <f>IF(Assoc_curr_scale=7,IF(Assoc_curr_step&lt;&gt;0,LOOKUP(Assoc_curr_step,AssocSteps,HST7_AP),0),0)</f>
        <v>0</v>
      </c>
      <c r="K51" s="203">
        <f>IF(Assoc_curr_scale=8,IF(Assoc_curr_step&lt;&gt;0,LOOKUP(Assoc_curr_step,AssocSteps,K46:K50),0),0)</f>
        <v>0</v>
      </c>
      <c r="L51" s="203">
        <f>IF(Assoc_curr_scale=9,IF(Assoc_curr_step&lt;&gt;0,LOOKUP(Assoc_curr_step,AssocSteps,L46:L50),0),0)</f>
        <v>0</v>
      </c>
      <c r="M51" s="211">
        <f>IF(Assoc_curr_scale=4,IF(Assoc_curr_step&lt;&gt;0,LOOKUP(Assoc_curr_step,AssocSteps,M46:M50),0),0)</f>
        <v>0</v>
      </c>
      <c r="N51" s="211">
        <f>IF(Assoc_curr_scale=5,IF(Assoc_curr_step&lt;&gt;0,LOOKUP(Assoc_curr_step,AssocSteps,N46:N50),0),0)</f>
        <v>0</v>
      </c>
      <c r="O51" s="211">
        <f>IF(Assoc_curr_scale=6,IF(Assoc_curr_step&lt;&gt;0,LOOKUP(Assoc_curr_step,AssocSteps,O46:O50),0),0)</f>
        <v>0</v>
      </c>
      <c r="P51" s="211">
        <f>IF(Assoc_curr_scale=7,IF(Assoc_curr_step&lt;&gt;0,LOOKUP(Assoc_curr_step,AssocSteps,P46:P50),0),0)</f>
        <v>0</v>
      </c>
      <c r="Q51" s="211">
        <f>IF(Assoc_curr_scale=8,IF(Assoc_curr_step&lt;&gt;0,LOOKUP(Assoc_curr_step,AssocSteps,Q46:Q50),0),0)</f>
        <v>0</v>
      </c>
      <c r="R51" s="211">
        <f>IF(Assoc_curr_scale=9,IF(Assoc_curr_step&lt;&gt;0,LOOKUP(Assoc_curr_step,AssocSteps,R46:R50),0),0)</f>
        <v>0</v>
      </c>
    </row>
    <row r="52" spans="1:19">
      <c r="A52" t="s">
        <v>21</v>
      </c>
      <c r="B52">
        <f>OnScaleCalc!E34</f>
        <v>0</v>
      </c>
    </row>
    <row r="53" spans="1:19">
      <c r="A53" t="s">
        <v>19</v>
      </c>
      <c r="B53">
        <f>IF(AND(Assistant="",Prof="",Instructor=""),Scale,0)</f>
        <v>0</v>
      </c>
    </row>
    <row r="56" spans="1:19" ht="13" thickBot="1">
      <c r="A56" s="46" t="s">
        <v>28</v>
      </c>
      <c r="C56" s="203" t="s">
        <v>2</v>
      </c>
      <c r="D56" s="204">
        <v>1</v>
      </c>
      <c r="E56" s="204">
        <v>2</v>
      </c>
      <c r="F56" s="204">
        <v>3</v>
      </c>
      <c r="G56" s="204">
        <v>4</v>
      </c>
      <c r="H56" s="204">
        <v>5</v>
      </c>
      <c r="I56" s="204">
        <v>6</v>
      </c>
      <c r="J56" s="204">
        <v>7</v>
      </c>
      <c r="K56" s="204">
        <v>8</v>
      </c>
      <c r="L56" s="185">
        <v>9</v>
      </c>
      <c r="M56" s="199">
        <v>4</v>
      </c>
      <c r="N56" s="199">
        <v>5</v>
      </c>
      <c r="O56" s="199">
        <v>6</v>
      </c>
      <c r="P56" s="199">
        <v>7</v>
      </c>
      <c r="Q56" s="199">
        <v>8</v>
      </c>
      <c r="R56" s="193">
        <v>9</v>
      </c>
    </row>
    <row r="57" spans="1:19">
      <c r="A57" s="15" t="s">
        <v>25</v>
      </c>
      <c r="B57" s="22">
        <v>1</v>
      </c>
      <c r="C57" s="182">
        <f>C16</f>
        <v>94800</v>
      </c>
      <c r="D57" s="190">
        <f>E16</f>
        <v>9500</v>
      </c>
      <c r="E57" s="190">
        <f>G16</f>
        <v>19000</v>
      </c>
      <c r="F57" s="190">
        <f>I16</f>
        <v>28400</v>
      </c>
      <c r="G57" s="190">
        <f>K16</f>
        <v>28400</v>
      </c>
      <c r="H57" s="190">
        <f>N16</f>
        <v>28400</v>
      </c>
      <c r="I57" s="206">
        <f>Q16</f>
        <v>28400</v>
      </c>
      <c r="J57" s="190">
        <f>T16</f>
        <v>28400</v>
      </c>
      <c r="K57" s="190">
        <f>W16</f>
        <v>28400</v>
      </c>
      <c r="L57" s="205">
        <f>Z16</f>
        <v>28400</v>
      </c>
      <c r="M57" s="395">
        <f>L16</f>
        <v>9500</v>
      </c>
      <c r="N57" s="200">
        <f>O16</f>
        <v>19000</v>
      </c>
      <c r="O57" s="200">
        <f>R16</f>
        <v>33200</v>
      </c>
      <c r="P57" s="200">
        <f>U16</f>
        <v>47400</v>
      </c>
      <c r="Q57" s="200">
        <f>X16</f>
        <v>66400</v>
      </c>
      <c r="R57" s="196">
        <f>AA16</f>
        <v>90100</v>
      </c>
      <c r="S57" s="398"/>
    </row>
    <row r="58" spans="1:19">
      <c r="A58" s="17"/>
      <c r="B58" s="23">
        <v>2</v>
      </c>
      <c r="C58" s="183">
        <f t="shared" ref="C58:C65" si="31">C17</f>
        <v>102100</v>
      </c>
      <c r="D58" s="191">
        <f t="shared" ref="D58:D65" si="32">E17</f>
        <v>10200</v>
      </c>
      <c r="E58" s="191">
        <f t="shared" ref="E58:E64" si="33">G17</f>
        <v>20400</v>
      </c>
      <c r="F58" s="191">
        <f t="shared" ref="F58:F64" si="34">I17</f>
        <v>30600</v>
      </c>
      <c r="G58" s="191">
        <f t="shared" ref="G58:G64" si="35">K17</f>
        <v>30600</v>
      </c>
      <c r="H58" s="191">
        <f t="shared" ref="H58:H64" si="36">N17</f>
        <v>30600</v>
      </c>
      <c r="I58" s="208">
        <f t="shared" ref="I58:I64" si="37">Q17</f>
        <v>30600</v>
      </c>
      <c r="J58" s="191">
        <f t="shared" ref="J58:J64" si="38">T17</f>
        <v>30600</v>
      </c>
      <c r="K58" s="191">
        <f t="shared" ref="K58:K65" si="39">W17</f>
        <v>30600</v>
      </c>
      <c r="L58" s="207">
        <f t="shared" ref="L58:L65" si="40">Z17</f>
        <v>30600</v>
      </c>
      <c r="M58" s="396">
        <f t="shared" ref="M58:M65" si="41">L17</f>
        <v>10200</v>
      </c>
      <c r="N58" s="201">
        <f t="shared" ref="N58:N65" si="42">O17</f>
        <v>20500</v>
      </c>
      <c r="O58" s="201">
        <f t="shared" ref="O58:O65" si="43">R17</f>
        <v>35800</v>
      </c>
      <c r="P58" s="201">
        <f t="shared" ref="P58:P65" si="44">U17</f>
        <v>51100</v>
      </c>
      <c r="Q58" s="201">
        <f t="shared" ref="Q58:Q65" si="45">X17</f>
        <v>71500</v>
      </c>
      <c r="R58" s="197">
        <f t="shared" ref="R58:R65" si="46">AA17</f>
        <v>97000</v>
      </c>
      <c r="S58" s="399"/>
    </row>
    <row r="59" spans="1:19">
      <c r="A59" s="17"/>
      <c r="B59" s="23">
        <v>3</v>
      </c>
      <c r="C59" s="183">
        <f t="shared" si="31"/>
        <v>109500</v>
      </c>
      <c r="D59" s="191">
        <f t="shared" si="32"/>
        <v>11000</v>
      </c>
      <c r="E59" s="191">
        <f t="shared" si="33"/>
        <v>21900</v>
      </c>
      <c r="F59" s="191">
        <f t="shared" si="34"/>
        <v>32900</v>
      </c>
      <c r="G59" s="191">
        <f t="shared" si="35"/>
        <v>32900</v>
      </c>
      <c r="H59" s="191">
        <f t="shared" si="36"/>
        <v>32900</v>
      </c>
      <c r="I59" s="208">
        <f t="shared" si="37"/>
        <v>32900</v>
      </c>
      <c r="J59" s="191">
        <f t="shared" si="38"/>
        <v>32900</v>
      </c>
      <c r="K59" s="191">
        <f t="shared" si="39"/>
        <v>32900</v>
      </c>
      <c r="L59" s="207">
        <f t="shared" si="40"/>
        <v>32900</v>
      </c>
      <c r="M59" s="396">
        <f t="shared" si="41"/>
        <v>10900</v>
      </c>
      <c r="N59" s="201">
        <f t="shared" si="42"/>
        <v>21900</v>
      </c>
      <c r="O59" s="201">
        <f t="shared" si="43"/>
        <v>38300</v>
      </c>
      <c r="P59" s="201">
        <f t="shared" si="44"/>
        <v>54700</v>
      </c>
      <c r="Q59" s="201">
        <f t="shared" si="45"/>
        <v>76600</v>
      </c>
      <c r="R59" s="197">
        <f t="shared" si="46"/>
        <v>104000</v>
      </c>
      <c r="S59" s="399"/>
    </row>
    <row r="60" spans="1:19">
      <c r="A60" s="17"/>
      <c r="B60" s="23">
        <v>4</v>
      </c>
      <c r="C60" s="183">
        <f t="shared" si="31"/>
        <v>117500</v>
      </c>
      <c r="D60" s="191">
        <f t="shared" si="32"/>
        <v>11800</v>
      </c>
      <c r="E60" s="191">
        <f t="shared" si="33"/>
        <v>23500</v>
      </c>
      <c r="F60" s="191">
        <f t="shared" si="34"/>
        <v>35300</v>
      </c>
      <c r="G60" s="191">
        <f t="shared" si="35"/>
        <v>35300</v>
      </c>
      <c r="H60" s="191">
        <f t="shared" si="36"/>
        <v>35300</v>
      </c>
      <c r="I60" s="208">
        <f t="shared" si="37"/>
        <v>35300</v>
      </c>
      <c r="J60" s="191">
        <f t="shared" si="38"/>
        <v>35300</v>
      </c>
      <c r="K60" s="191">
        <f t="shared" si="39"/>
        <v>35300</v>
      </c>
      <c r="L60" s="207">
        <f t="shared" si="40"/>
        <v>35300</v>
      </c>
      <c r="M60" s="396">
        <f t="shared" si="41"/>
        <v>11700</v>
      </c>
      <c r="N60" s="201">
        <f t="shared" si="42"/>
        <v>23500</v>
      </c>
      <c r="O60" s="201">
        <f t="shared" si="43"/>
        <v>41100</v>
      </c>
      <c r="P60" s="201">
        <f t="shared" si="44"/>
        <v>58700</v>
      </c>
      <c r="Q60" s="201">
        <f t="shared" si="45"/>
        <v>82200</v>
      </c>
      <c r="R60" s="197">
        <f t="shared" si="46"/>
        <v>111600</v>
      </c>
      <c r="S60" s="399"/>
    </row>
    <row r="61" spans="1:19">
      <c r="A61" s="17"/>
      <c r="B61" s="23">
        <v>5</v>
      </c>
      <c r="C61" s="183">
        <f t="shared" si="31"/>
        <v>125900</v>
      </c>
      <c r="D61" s="191">
        <f t="shared" si="32"/>
        <v>12600</v>
      </c>
      <c r="E61" s="191">
        <f t="shared" si="33"/>
        <v>25200</v>
      </c>
      <c r="F61" s="191">
        <f t="shared" si="34"/>
        <v>37800</v>
      </c>
      <c r="G61" s="191">
        <f t="shared" si="35"/>
        <v>37800</v>
      </c>
      <c r="H61" s="191">
        <f t="shared" si="36"/>
        <v>37800</v>
      </c>
      <c r="I61" s="208">
        <f t="shared" si="37"/>
        <v>37800</v>
      </c>
      <c r="J61" s="191">
        <f t="shared" si="38"/>
        <v>37800</v>
      </c>
      <c r="K61" s="191">
        <f t="shared" si="39"/>
        <v>37800</v>
      </c>
      <c r="L61" s="207">
        <f t="shared" si="40"/>
        <v>37800</v>
      </c>
      <c r="M61" s="396">
        <f t="shared" si="41"/>
        <v>12600</v>
      </c>
      <c r="N61" s="201">
        <f t="shared" si="42"/>
        <v>25200</v>
      </c>
      <c r="O61" s="201">
        <f t="shared" si="43"/>
        <v>44000</v>
      </c>
      <c r="P61" s="201">
        <f t="shared" si="44"/>
        <v>62900</v>
      </c>
      <c r="Q61" s="201">
        <f t="shared" si="45"/>
        <v>88100</v>
      </c>
      <c r="R61" s="197">
        <f t="shared" si="46"/>
        <v>119600</v>
      </c>
      <c r="S61" s="399"/>
    </row>
    <row r="62" spans="1:19">
      <c r="A62" s="17"/>
      <c r="B62" s="23">
        <v>6</v>
      </c>
      <c r="C62" s="183">
        <f t="shared" si="31"/>
        <v>136300</v>
      </c>
      <c r="D62" s="191">
        <f t="shared" si="32"/>
        <v>13600</v>
      </c>
      <c r="E62" s="191">
        <f t="shared" si="33"/>
        <v>27300</v>
      </c>
      <c r="F62" s="191">
        <f t="shared" si="34"/>
        <v>40900</v>
      </c>
      <c r="G62" s="191">
        <f t="shared" si="35"/>
        <v>40900</v>
      </c>
      <c r="H62" s="191">
        <f t="shared" si="36"/>
        <v>40900</v>
      </c>
      <c r="I62" s="208">
        <f t="shared" si="37"/>
        <v>40900</v>
      </c>
      <c r="J62" s="191">
        <f t="shared" si="38"/>
        <v>40900</v>
      </c>
      <c r="K62" s="191">
        <f t="shared" si="39"/>
        <v>40900</v>
      </c>
      <c r="L62" s="207">
        <f t="shared" si="40"/>
        <v>40900</v>
      </c>
      <c r="M62" s="396">
        <f t="shared" si="41"/>
        <v>13600</v>
      </c>
      <c r="N62" s="201">
        <f t="shared" si="42"/>
        <v>27300</v>
      </c>
      <c r="O62" s="201">
        <f t="shared" si="43"/>
        <v>47700</v>
      </c>
      <c r="P62" s="201">
        <f t="shared" si="44"/>
        <v>68100</v>
      </c>
      <c r="Q62" s="201">
        <f t="shared" si="45"/>
        <v>95400</v>
      </c>
      <c r="R62" s="197">
        <f t="shared" si="46"/>
        <v>129500</v>
      </c>
      <c r="S62" s="399"/>
    </row>
    <row r="63" spans="1:19">
      <c r="A63" s="17"/>
      <c r="B63" s="23">
        <v>7</v>
      </c>
      <c r="C63" s="183">
        <f t="shared" si="31"/>
        <v>147500</v>
      </c>
      <c r="D63" s="191">
        <f t="shared" si="32"/>
        <v>14800</v>
      </c>
      <c r="E63" s="191">
        <f t="shared" si="33"/>
        <v>29500</v>
      </c>
      <c r="F63" s="191">
        <f t="shared" si="34"/>
        <v>44300</v>
      </c>
      <c r="G63" s="191">
        <f t="shared" si="35"/>
        <v>44300</v>
      </c>
      <c r="H63" s="191">
        <f t="shared" si="36"/>
        <v>44300</v>
      </c>
      <c r="I63" s="208">
        <f t="shared" si="37"/>
        <v>44300</v>
      </c>
      <c r="J63" s="191">
        <f t="shared" si="38"/>
        <v>44300</v>
      </c>
      <c r="K63" s="191">
        <f t="shared" si="39"/>
        <v>44300</v>
      </c>
      <c r="L63" s="207">
        <f t="shared" si="40"/>
        <v>44300</v>
      </c>
      <c r="M63" s="396">
        <f t="shared" si="41"/>
        <v>14700</v>
      </c>
      <c r="N63" s="201">
        <f t="shared" si="42"/>
        <v>29500</v>
      </c>
      <c r="O63" s="201">
        <f t="shared" si="43"/>
        <v>51600</v>
      </c>
      <c r="P63" s="201">
        <f t="shared" si="44"/>
        <v>73700</v>
      </c>
      <c r="Q63" s="201">
        <f t="shared" si="45"/>
        <v>103200</v>
      </c>
      <c r="R63" s="197">
        <f t="shared" si="46"/>
        <v>140100</v>
      </c>
      <c r="S63" s="399"/>
    </row>
    <row r="64" spans="1:19" ht="13" thickBot="1">
      <c r="A64" s="364"/>
      <c r="B64" s="23">
        <v>8</v>
      </c>
      <c r="C64" s="183">
        <f t="shared" si="31"/>
        <v>159700</v>
      </c>
      <c r="D64" s="191">
        <f t="shared" si="32"/>
        <v>16000</v>
      </c>
      <c r="E64" s="191">
        <f t="shared" si="33"/>
        <v>31900</v>
      </c>
      <c r="F64" s="191">
        <f t="shared" si="34"/>
        <v>47900</v>
      </c>
      <c r="G64" s="191">
        <f t="shared" si="35"/>
        <v>47900</v>
      </c>
      <c r="H64" s="191">
        <f t="shared" si="36"/>
        <v>47900</v>
      </c>
      <c r="I64" s="208">
        <f t="shared" si="37"/>
        <v>47900</v>
      </c>
      <c r="J64" s="191">
        <f t="shared" si="38"/>
        <v>47900</v>
      </c>
      <c r="K64" s="191">
        <f t="shared" si="39"/>
        <v>47900</v>
      </c>
      <c r="L64" s="207">
        <f t="shared" si="40"/>
        <v>47900</v>
      </c>
      <c r="M64" s="396">
        <f t="shared" si="41"/>
        <v>16000</v>
      </c>
      <c r="N64" s="201">
        <f t="shared" si="42"/>
        <v>32000</v>
      </c>
      <c r="O64" s="201">
        <f t="shared" si="43"/>
        <v>55900</v>
      </c>
      <c r="P64" s="201">
        <f t="shared" si="44"/>
        <v>79900</v>
      </c>
      <c r="Q64" s="201">
        <f t="shared" si="45"/>
        <v>111800</v>
      </c>
      <c r="R64" s="197">
        <f t="shared" si="46"/>
        <v>151700</v>
      </c>
      <c r="S64" s="400"/>
    </row>
    <row r="65" spans="1:19" ht="13" thickBot="1">
      <c r="A65" s="365"/>
      <c r="B65" s="365">
        <v>9</v>
      </c>
      <c r="C65" s="366">
        <f t="shared" si="31"/>
        <v>173000</v>
      </c>
      <c r="D65" s="367">
        <f t="shared" si="32"/>
        <v>17300</v>
      </c>
      <c r="E65" s="367">
        <f>G24</f>
        <v>34600</v>
      </c>
      <c r="F65" s="367">
        <f>I24</f>
        <v>51900</v>
      </c>
      <c r="G65" s="367">
        <f>K24</f>
        <v>51900</v>
      </c>
      <c r="H65" s="367">
        <f>N24</f>
        <v>51900</v>
      </c>
      <c r="I65" s="368">
        <f>Q24</f>
        <v>51900</v>
      </c>
      <c r="J65" s="192">
        <f>T24</f>
        <v>51900</v>
      </c>
      <c r="K65" s="192">
        <f t="shared" si="39"/>
        <v>51900</v>
      </c>
      <c r="L65" s="209">
        <f t="shared" si="40"/>
        <v>51900</v>
      </c>
      <c r="M65" s="397">
        <f t="shared" si="41"/>
        <v>17300</v>
      </c>
      <c r="N65" s="202">
        <f t="shared" si="42"/>
        <v>34600</v>
      </c>
      <c r="O65" s="202">
        <f t="shared" si="43"/>
        <v>60600</v>
      </c>
      <c r="P65" s="202">
        <f t="shared" si="44"/>
        <v>86500</v>
      </c>
      <c r="Q65" s="202">
        <f t="shared" si="45"/>
        <v>121100</v>
      </c>
      <c r="R65" s="198">
        <f t="shared" si="46"/>
        <v>164400</v>
      </c>
      <c r="S65" s="35"/>
    </row>
    <row r="66" spans="1:19">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c r="A67" t="s">
        <v>21</v>
      </c>
      <c r="B67">
        <f>OnScaleCalc!E35</f>
        <v>0</v>
      </c>
    </row>
    <row r="68" spans="1:19">
      <c r="A68" t="s">
        <v>19</v>
      </c>
      <c r="B68">
        <f>IF(AND(Assistant="",Associate="",Instructor=""),Scale,0)</f>
        <v>0</v>
      </c>
    </row>
    <row r="71" spans="1:19" ht="13" thickBot="1">
      <c r="B71" t="s">
        <v>205</v>
      </c>
    </row>
    <row r="72" spans="1:19" ht="13" thickBot="1">
      <c r="B72" s="552" t="s">
        <v>199</v>
      </c>
      <c r="C72" s="44"/>
      <c r="D72" s="44"/>
      <c r="E72" s="45"/>
    </row>
    <row r="73" spans="1:19">
      <c r="B73" s="541" t="s">
        <v>19</v>
      </c>
      <c r="C73" s="542" t="s">
        <v>198</v>
      </c>
      <c r="D73" s="542" t="s">
        <v>63</v>
      </c>
      <c r="E73" s="543" t="s">
        <v>64</v>
      </c>
    </row>
    <row r="74" spans="1:19">
      <c r="B74" s="544">
        <v>0</v>
      </c>
      <c r="C74" s="545">
        <f>C25</f>
        <v>181700</v>
      </c>
      <c r="D74" s="546">
        <v>0</v>
      </c>
      <c r="E74" s="547">
        <v>0</v>
      </c>
    </row>
    <row r="75" spans="1:19">
      <c r="B75" s="544">
        <v>1</v>
      </c>
      <c r="C75" s="545">
        <f>D24</f>
        <v>190300</v>
      </c>
      <c r="D75" s="545">
        <f>E25</f>
        <v>18100</v>
      </c>
      <c r="E75" s="547">
        <v>0</v>
      </c>
    </row>
    <row r="76" spans="1:19">
      <c r="B76" s="544">
        <v>2</v>
      </c>
      <c r="C76" s="545">
        <f>F25</f>
        <v>218000</v>
      </c>
      <c r="D76" s="545">
        <f>G25</f>
        <v>36300</v>
      </c>
      <c r="E76" s="547">
        <v>0</v>
      </c>
    </row>
    <row r="77" spans="1:19">
      <c r="B77" s="544">
        <v>3</v>
      </c>
      <c r="C77" s="545">
        <f>H25</f>
        <v>236100</v>
      </c>
      <c r="D77" s="545">
        <f>I25</f>
        <v>54400</v>
      </c>
      <c r="E77" s="547">
        <v>0</v>
      </c>
    </row>
    <row r="78" spans="1:19">
      <c r="B78" s="544">
        <v>4</v>
      </c>
      <c r="C78" s="545">
        <f>J25</f>
        <v>254300</v>
      </c>
      <c r="D78" s="545">
        <f>K25</f>
        <v>54400</v>
      </c>
      <c r="E78" s="548">
        <f>L25</f>
        <v>18200</v>
      </c>
    </row>
    <row r="79" spans="1:19">
      <c r="B79" s="544">
        <v>5</v>
      </c>
      <c r="C79" s="545">
        <f>M25</f>
        <v>272500</v>
      </c>
      <c r="D79" s="545">
        <f>N25</f>
        <v>54400</v>
      </c>
      <c r="E79" s="548">
        <f>O25</f>
        <v>36400</v>
      </c>
    </row>
    <row r="80" spans="1:19">
      <c r="B80" s="544">
        <v>6</v>
      </c>
      <c r="C80" s="545">
        <f>P25</f>
        <v>299800</v>
      </c>
      <c r="D80" s="545">
        <f>Q25</f>
        <v>54400</v>
      </c>
      <c r="E80" s="548">
        <f>R25</f>
        <v>63700</v>
      </c>
    </row>
    <row r="81" spans="2:5">
      <c r="B81" s="544">
        <v>7</v>
      </c>
      <c r="C81" s="545">
        <f>S25</f>
        <v>327000</v>
      </c>
      <c r="D81" s="545">
        <f>T25</f>
        <v>54400</v>
      </c>
      <c r="E81" s="548">
        <f>U25</f>
        <v>90900</v>
      </c>
    </row>
    <row r="82" spans="2:5">
      <c r="B82" s="544">
        <v>8</v>
      </c>
      <c r="C82" s="545">
        <f>V25</f>
        <v>363300</v>
      </c>
      <c r="D82" s="545">
        <f>W25</f>
        <v>54400</v>
      </c>
      <c r="E82" s="548">
        <f>X25</f>
        <v>127200</v>
      </c>
    </row>
    <row r="83" spans="2:5" ht="13" thickBot="1">
      <c r="B83" s="549">
        <v>9</v>
      </c>
      <c r="C83" s="550">
        <f>Y25</f>
        <v>408800</v>
      </c>
      <c r="D83" s="550">
        <f>Z25</f>
        <v>54400</v>
      </c>
      <c r="E83" s="551">
        <f>AA25</f>
        <v>172700</v>
      </c>
    </row>
  </sheetData>
  <sheetProtection sheet="1" objects="1" scenarios="1"/>
  <mergeCells count="2">
    <mergeCell ref="J2:L2"/>
    <mergeCell ref="M2:O2"/>
  </mergeCells>
  <phoneticPr fontId="0" type="noConversion"/>
  <pageMargins left="0.25" right="0.25" top="1" bottom="1" header="0.5" footer="0.5"/>
  <pageSetup orientation="landscape"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I7" sqref="I7"/>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4" width="9.33203125" bestFit="1" customWidth="1"/>
  </cols>
  <sheetData>
    <row r="1" spans="1:27" ht="13" thickBot="1">
      <c r="I1" s="54"/>
    </row>
    <row r="2" spans="1:27" ht="13" thickBot="1">
      <c r="A2" s="174"/>
      <c r="B2" s="449" t="s">
        <v>52</v>
      </c>
      <c r="C2" s="450"/>
      <c r="D2" s="451" t="s">
        <v>53</v>
      </c>
      <c r="E2" s="452"/>
      <c r="F2" s="451" t="s">
        <v>54</v>
      </c>
      <c r="G2" s="452"/>
      <c r="H2" s="451" t="s">
        <v>55</v>
      </c>
      <c r="I2" s="452"/>
      <c r="J2" s="451" t="s">
        <v>56</v>
      </c>
      <c r="K2" s="453"/>
      <c r="L2" s="452"/>
      <c r="M2" s="451" t="s">
        <v>57</v>
      </c>
      <c r="N2" s="453"/>
      <c r="O2" s="452"/>
      <c r="P2" s="451"/>
      <c r="Q2" s="453" t="s">
        <v>58</v>
      </c>
      <c r="R2" s="452"/>
      <c r="S2" s="451"/>
      <c r="T2" s="453" t="s">
        <v>59</v>
      </c>
      <c r="U2" s="452"/>
      <c r="V2" s="455"/>
      <c r="W2" s="453" t="s">
        <v>123</v>
      </c>
      <c r="X2" s="452"/>
      <c r="Y2" s="456"/>
      <c r="Z2" s="453" t="s">
        <v>124</v>
      </c>
      <c r="AA2" s="452"/>
    </row>
    <row r="3" spans="1:27"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401" t="s">
        <v>123</v>
      </c>
      <c r="W3" s="189" t="s">
        <v>63</v>
      </c>
      <c r="X3" s="195" t="s">
        <v>64</v>
      </c>
      <c r="Y3" s="384" t="s">
        <v>124</v>
      </c>
      <c r="Z3" s="189" t="s">
        <v>63</v>
      </c>
      <c r="AA3" s="195" t="s">
        <v>64</v>
      </c>
    </row>
    <row r="4" spans="1:27" ht="14" thickTop="1" thickBot="1">
      <c r="A4" s="176" t="s">
        <v>22</v>
      </c>
      <c r="B4" s="280" t="s">
        <v>85</v>
      </c>
      <c r="C4" s="475">
        <v>55900</v>
      </c>
      <c r="D4" s="476">
        <v>61500</v>
      </c>
      <c r="E4" s="477">
        <f t="shared" ref="E4:E24" si="0">D4-C4</f>
        <v>5600</v>
      </c>
      <c r="F4" s="476">
        <v>67100</v>
      </c>
      <c r="G4" s="478">
        <f t="shared" ref="G4:G22" si="1">F4-C4</f>
        <v>11200</v>
      </c>
      <c r="H4" s="476">
        <v>72700</v>
      </c>
      <c r="I4" s="478">
        <f t="shared" ref="I4:I22" si="2">H4-C4</f>
        <v>16800</v>
      </c>
      <c r="J4" s="476">
        <v>78300</v>
      </c>
      <c r="K4" s="479">
        <f t="shared" ref="K4:K23" si="3">I4</f>
        <v>16800</v>
      </c>
      <c r="L4" s="480">
        <f t="shared" ref="L4:L22" si="4">J4-H4</f>
        <v>5600</v>
      </c>
      <c r="M4" s="481">
        <v>83900</v>
      </c>
      <c r="N4" s="479">
        <f t="shared" ref="N4:N23" si="5">K4</f>
        <v>16800</v>
      </c>
      <c r="O4" s="480">
        <f>M4-H4</f>
        <v>11200</v>
      </c>
      <c r="P4" s="481">
        <v>92200</v>
      </c>
      <c r="Q4" s="479">
        <f t="shared" ref="Q4:Q23" si="6">N4</f>
        <v>16800</v>
      </c>
      <c r="R4" s="480">
        <f>P4-H4</f>
        <v>19500</v>
      </c>
      <c r="S4" s="481">
        <v>100600</v>
      </c>
      <c r="T4" s="479">
        <f>Q4</f>
        <v>16800</v>
      </c>
      <c r="U4" s="480">
        <f>S4-H4</f>
        <v>27900</v>
      </c>
      <c r="V4" s="481">
        <v>111800</v>
      </c>
      <c r="W4" s="479">
        <f>T4</f>
        <v>16800</v>
      </c>
      <c r="X4" s="480">
        <f>V4-H4</f>
        <v>39100</v>
      </c>
      <c r="Y4" s="481">
        <v>125800</v>
      </c>
      <c r="Z4" s="479">
        <f>W4</f>
        <v>16800</v>
      </c>
      <c r="AA4" s="480">
        <f>Y4-H4</f>
        <v>53100</v>
      </c>
    </row>
    <row r="5" spans="1:27">
      <c r="A5" s="177" t="s">
        <v>23</v>
      </c>
      <c r="B5" s="22">
        <v>1</v>
      </c>
      <c r="C5" s="482">
        <v>64900</v>
      </c>
      <c r="D5" s="483">
        <v>71400</v>
      </c>
      <c r="E5" s="484">
        <f t="shared" si="0"/>
        <v>6500</v>
      </c>
      <c r="F5" s="483">
        <v>77900</v>
      </c>
      <c r="G5" s="485">
        <f t="shared" si="1"/>
        <v>13000</v>
      </c>
      <c r="H5" s="483">
        <v>84400</v>
      </c>
      <c r="I5" s="485">
        <f t="shared" si="2"/>
        <v>19500</v>
      </c>
      <c r="J5" s="483">
        <v>90900</v>
      </c>
      <c r="K5" s="486">
        <f t="shared" si="3"/>
        <v>19500</v>
      </c>
      <c r="L5" s="487">
        <f t="shared" si="4"/>
        <v>6500</v>
      </c>
      <c r="M5" s="488">
        <v>97400</v>
      </c>
      <c r="N5" s="486">
        <f t="shared" si="5"/>
        <v>19500</v>
      </c>
      <c r="O5" s="487">
        <f t="shared" ref="O5:O20" si="7">M5-H5</f>
        <v>13000</v>
      </c>
      <c r="P5" s="488">
        <v>107100</v>
      </c>
      <c r="Q5" s="486">
        <f t="shared" si="6"/>
        <v>19500</v>
      </c>
      <c r="R5" s="487">
        <f>P5-H5</f>
        <v>22700</v>
      </c>
      <c r="S5" s="488">
        <v>116800</v>
      </c>
      <c r="T5" s="486">
        <f t="shared" ref="T5:T23" si="8">Q5</f>
        <v>19500</v>
      </c>
      <c r="U5" s="487">
        <f t="shared" ref="U5:U23" si="9">S5-H5</f>
        <v>32400</v>
      </c>
      <c r="V5" s="488">
        <v>129800</v>
      </c>
      <c r="W5" s="486">
        <f t="shared" ref="W5:W23" si="10">T5</f>
        <v>19500</v>
      </c>
      <c r="X5" s="487">
        <f t="shared" ref="X5:X24" si="11">V5-H5</f>
        <v>45400</v>
      </c>
      <c r="Y5" s="488">
        <v>146000</v>
      </c>
      <c r="Z5" s="486">
        <f t="shared" ref="Z5:Z23" si="12">W5</f>
        <v>19500</v>
      </c>
      <c r="AA5" s="487">
        <f t="shared" ref="AA5:AA24" si="13">Y5-H5</f>
        <v>61600</v>
      </c>
    </row>
    <row r="6" spans="1:27">
      <c r="A6" s="178"/>
      <c r="B6" s="23">
        <v>2</v>
      </c>
      <c r="C6" s="482">
        <v>68700</v>
      </c>
      <c r="D6" s="483">
        <v>75600</v>
      </c>
      <c r="E6" s="484">
        <f t="shared" si="0"/>
        <v>6900</v>
      </c>
      <c r="F6" s="483">
        <v>82400</v>
      </c>
      <c r="G6" s="485">
        <f t="shared" si="1"/>
        <v>13700</v>
      </c>
      <c r="H6" s="483">
        <v>89300</v>
      </c>
      <c r="I6" s="485">
        <f t="shared" si="2"/>
        <v>20600</v>
      </c>
      <c r="J6" s="483">
        <v>96200</v>
      </c>
      <c r="K6" s="486">
        <f t="shared" si="3"/>
        <v>20600</v>
      </c>
      <c r="L6" s="487">
        <f t="shared" si="4"/>
        <v>6900</v>
      </c>
      <c r="M6" s="488">
        <v>103100</v>
      </c>
      <c r="N6" s="486">
        <f t="shared" si="5"/>
        <v>20600</v>
      </c>
      <c r="O6" s="487">
        <f t="shared" si="7"/>
        <v>13800</v>
      </c>
      <c r="P6" s="488">
        <v>113400</v>
      </c>
      <c r="Q6" s="486">
        <f t="shared" si="6"/>
        <v>20600</v>
      </c>
      <c r="R6" s="487">
        <f t="shared" ref="R6:R20" si="14">P6-H6</f>
        <v>24100</v>
      </c>
      <c r="S6" s="488">
        <v>123700</v>
      </c>
      <c r="T6" s="486">
        <f t="shared" si="8"/>
        <v>20600</v>
      </c>
      <c r="U6" s="487">
        <f t="shared" si="9"/>
        <v>34400</v>
      </c>
      <c r="V6" s="488">
        <v>137400</v>
      </c>
      <c r="W6" s="486">
        <f t="shared" si="10"/>
        <v>20600</v>
      </c>
      <c r="X6" s="487">
        <f t="shared" si="11"/>
        <v>48100</v>
      </c>
      <c r="Y6" s="488">
        <v>154600</v>
      </c>
      <c r="Z6" s="486">
        <f t="shared" si="12"/>
        <v>20600</v>
      </c>
      <c r="AA6" s="487">
        <f t="shared" si="13"/>
        <v>65300</v>
      </c>
    </row>
    <row r="7" spans="1:27">
      <c r="A7" s="178"/>
      <c r="B7" s="23">
        <v>3</v>
      </c>
      <c r="C7" s="482">
        <v>72500</v>
      </c>
      <c r="D7" s="483">
        <v>79800</v>
      </c>
      <c r="E7" s="484">
        <f t="shared" si="0"/>
        <v>7300</v>
      </c>
      <c r="F7" s="483">
        <v>87000</v>
      </c>
      <c r="G7" s="485">
        <f t="shared" si="1"/>
        <v>14500</v>
      </c>
      <c r="H7" s="483">
        <v>94300</v>
      </c>
      <c r="I7" s="485">
        <f t="shared" si="2"/>
        <v>21800</v>
      </c>
      <c r="J7" s="483">
        <v>101500</v>
      </c>
      <c r="K7" s="486">
        <f t="shared" si="3"/>
        <v>21800</v>
      </c>
      <c r="L7" s="487">
        <f t="shared" si="4"/>
        <v>7200</v>
      </c>
      <c r="M7" s="488">
        <v>108800</v>
      </c>
      <c r="N7" s="486">
        <f t="shared" si="5"/>
        <v>21800</v>
      </c>
      <c r="O7" s="487">
        <f t="shared" si="7"/>
        <v>14500</v>
      </c>
      <c r="P7" s="488">
        <v>119600</v>
      </c>
      <c r="Q7" s="486">
        <f t="shared" si="6"/>
        <v>21800</v>
      </c>
      <c r="R7" s="487">
        <f t="shared" si="14"/>
        <v>25300</v>
      </c>
      <c r="S7" s="488">
        <v>130500</v>
      </c>
      <c r="T7" s="486">
        <f>Q7</f>
        <v>21800</v>
      </c>
      <c r="U7" s="487">
        <f t="shared" si="9"/>
        <v>36200</v>
      </c>
      <c r="V7" s="488">
        <v>145000</v>
      </c>
      <c r="W7" s="486">
        <f>T7</f>
        <v>21800</v>
      </c>
      <c r="X7" s="487">
        <f t="shared" si="11"/>
        <v>50700</v>
      </c>
      <c r="Y7" s="488">
        <v>163100</v>
      </c>
      <c r="Z7" s="486">
        <f t="shared" si="12"/>
        <v>21800</v>
      </c>
      <c r="AA7" s="487">
        <f t="shared" si="13"/>
        <v>68800</v>
      </c>
    </row>
    <row r="8" spans="1:27">
      <c r="A8" s="178"/>
      <c r="B8" s="23">
        <v>4</v>
      </c>
      <c r="C8" s="482">
        <v>76700</v>
      </c>
      <c r="D8" s="483">
        <v>84400</v>
      </c>
      <c r="E8" s="484">
        <f t="shared" si="0"/>
        <v>7700</v>
      </c>
      <c r="F8" s="483">
        <v>92000</v>
      </c>
      <c r="G8" s="485">
        <f t="shared" si="1"/>
        <v>15300</v>
      </c>
      <c r="H8" s="483">
        <v>99700</v>
      </c>
      <c r="I8" s="485">
        <f t="shared" si="2"/>
        <v>23000</v>
      </c>
      <c r="J8" s="483">
        <v>107400</v>
      </c>
      <c r="K8" s="486">
        <f t="shared" si="3"/>
        <v>23000</v>
      </c>
      <c r="L8" s="487">
        <f t="shared" si="4"/>
        <v>7700</v>
      </c>
      <c r="M8" s="488">
        <v>115100</v>
      </c>
      <c r="N8" s="486">
        <f t="shared" si="5"/>
        <v>23000</v>
      </c>
      <c r="O8" s="487">
        <f t="shared" si="7"/>
        <v>15400</v>
      </c>
      <c r="P8" s="488">
        <v>126600</v>
      </c>
      <c r="Q8" s="486">
        <f t="shared" si="6"/>
        <v>23000</v>
      </c>
      <c r="R8" s="487">
        <f t="shared" si="14"/>
        <v>26900</v>
      </c>
      <c r="S8" s="488">
        <v>138100</v>
      </c>
      <c r="T8" s="486">
        <f t="shared" si="8"/>
        <v>23000</v>
      </c>
      <c r="U8" s="487">
        <f t="shared" si="9"/>
        <v>38400</v>
      </c>
      <c r="V8" s="488">
        <v>153400</v>
      </c>
      <c r="W8" s="486">
        <f t="shared" si="10"/>
        <v>23000</v>
      </c>
      <c r="X8" s="487">
        <f t="shared" si="11"/>
        <v>53700</v>
      </c>
      <c r="Y8" s="488">
        <v>172600</v>
      </c>
      <c r="Z8" s="486">
        <f t="shared" si="12"/>
        <v>23000</v>
      </c>
      <c r="AA8" s="487">
        <f t="shared" si="13"/>
        <v>72900</v>
      </c>
    </row>
    <row r="9" spans="1:27">
      <c r="A9" s="178"/>
      <c r="B9" s="23">
        <v>5</v>
      </c>
      <c r="C9" s="482">
        <v>80500</v>
      </c>
      <c r="D9" s="483">
        <v>88600</v>
      </c>
      <c r="E9" s="484">
        <f t="shared" si="0"/>
        <v>8100</v>
      </c>
      <c r="F9" s="483">
        <v>96600</v>
      </c>
      <c r="G9" s="485">
        <f t="shared" si="1"/>
        <v>16100</v>
      </c>
      <c r="H9" s="483">
        <v>104700</v>
      </c>
      <c r="I9" s="485">
        <f t="shared" si="2"/>
        <v>24200</v>
      </c>
      <c r="J9" s="483">
        <v>112700</v>
      </c>
      <c r="K9" s="486">
        <f t="shared" si="3"/>
        <v>24200</v>
      </c>
      <c r="L9" s="487">
        <f t="shared" si="4"/>
        <v>8000</v>
      </c>
      <c r="M9" s="488">
        <v>120800</v>
      </c>
      <c r="N9" s="486">
        <f t="shared" si="5"/>
        <v>24200</v>
      </c>
      <c r="O9" s="487">
        <f t="shared" si="7"/>
        <v>16100</v>
      </c>
      <c r="P9" s="488">
        <v>132800</v>
      </c>
      <c r="Q9" s="486">
        <f t="shared" si="6"/>
        <v>24200</v>
      </c>
      <c r="R9" s="487">
        <f t="shared" si="14"/>
        <v>28100</v>
      </c>
      <c r="S9" s="488">
        <v>144900</v>
      </c>
      <c r="T9" s="486">
        <f t="shared" si="8"/>
        <v>24200</v>
      </c>
      <c r="U9" s="487">
        <f t="shared" si="9"/>
        <v>40200</v>
      </c>
      <c r="V9" s="488">
        <v>161000</v>
      </c>
      <c r="W9" s="486">
        <f t="shared" si="10"/>
        <v>24200</v>
      </c>
      <c r="X9" s="487">
        <f t="shared" si="11"/>
        <v>56300</v>
      </c>
      <c r="Y9" s="488">
        <v>181100</v>
      </c>
      <c r="Z9" s="486">
        <f t="shared" si="12"/>
        <v>24200</v>
      </c>
      <c r="AA9" s="487">
        <f t="shared" si="13"/>
        <v>76400</v>
      </c>
    </row>
    <row r="10" spans="1:27" ht="13" thickBot="1">
      <c r="A10" s="179"/>
      <c r="B10" s="24">
        <v>6</v>
      </c>
      <c r="C10" s="489">
        <v>84400</v>
      </c>
      <c r="D10" s="476">
        <v>92800</v>
      </c>
      <c r="E10" s="477">
        <f t="shared" si="0"/>
        <v>8400</v>
      </c>
      <c r="F10" s="476">
        <v>101300</v>
      </c>
      <c r="G10" s="478">
        <f t="shared" si="1"/>
        <v>16900</v>
      </c>
      <c r="H10" s="476">
        <v>109700</v>
      </c>
      <c r="I10" s="478">
        <f t="shared" si="2"/>
        <v>25300</v>
      </c>
      <c r="J10" s="476">
        <v>118200</v>
      </c>
      <c r="K10" s="479">
        <f t="shared" si="3"/>
        <v>25300</v>
      </c>
      <c r="L10" s="480">
        <f t="shared" si="4"/>
        <v>8500</v>
      </c>
      <c r="M10" s="481">
        <v>126600</v>
      </c>
      <c r="N10" s="479">
        <f t="shared" si="5"/>
        <v>25300</v>
      </c>
      <c r="O10" s="480">
        <f t="shared" si="7"/>
        <v>16900</v>
      </c>
      <c r="P10" s="481">
        <v>139300</v>
      </c>
      <c r="Q10" s="479">
        <f t="shared" si="6"/>
        <v>25300</v>
      </c>
      <c r="R10" s="480">
        <f t="shared" si="14"/>
        <v>29600</v>
      </c>
      <c r="S10" s="481">
        <v>151900</v>
      </c>
      <c r="T10" s="479">
        <f t="shared" si="8"/>
        <v>25300</v>
      </c>
      <c r="U10" s="480">
        <f t="shared" si="9"/>
        <v>42200</v>
      </c>
      <c r="V10" s="481">
        <v>168800</v>
      </c>
      <c r="W10" s="479">
        <f t="shared" si="10"/>
        <v>25300</v>
      </c>
      <c r="X10" s="480">
        <f t="shared" si="11"/>
        <v>59100</v>
      </c>
      <c r="Y10" s="481">
        <v>189900</v>
      </c>
      <c r="Z10" s="479">
        <f t="shared" si="12"/>
        <v>25300</v>
      </c>
      <c r="AA10" s="480">
        <f t="shared" si="13"/>
        <v>80200</v>
      </c>
    </row>
    <row r="11" spans="1:27">
      <c r="A11" s="177" t="s">
        <v>24</v>
      </c>
      <c r="B11" s="22">
        <v>1</v>
      </c>
      <c r="C11" s="482">
        <v>80600</v>
      </c>
      <c r="D11" s="483">
        <v>88700</v>
      </c>
      <c r="E11" s="484">
        <f t="shared" si="0"/>
        <v>8100</v>
      </c>
      <c r="F11" s="483">
        <v>96700</v>
      </c>
      <c r="G11" s="485">
        <f t="shared" si="1"/>
        <v>16100</v>
      </c>
      <c r="H11" s="483">
        <v>104800</v>
      </c>
      <c r="I11" s="485">
        <f t="shared" si="2"/>
        <v>24200</v>
      </c>
      <c r="J11" s="483">
        <v>112800</v>
      </c>
      <c r="K11" s="486">
        <f t="shared" si="3"/>
        <v>24200</v>
      </c>
      <c r="L11" s="487">
        <f t="shared" si="4"/>
        <v>8000</v>
      </c>
      <c r="M11" s="488">
        <v>120900</v>
      </c>
      <c r="N11" s="486">
        <f t="shared" si="5"/>
        <v>24200</v>
      </c>
      <c r="O11" s="487">
        <f t="shared" si="7"/>
        <v>16100</v>
      </c>
      <c r="P11" s="488">
        <v>133000</v>
      </c>
      <c r="Q11" s="486">
        <f t="shared" si="6"/>
        <v>24200</v>
      </c>
      <c r="R11" s="487">
        <f t="shared" si="14"/>
        <v>28200</v>
      </c>
      <c r="S11" s="488">
        <v>145100</v>
      </c>
      <c r="T11" s="486">
        <f t="shared" si="8"/>
        <v>24200</v>
      </c>
      <c r="U11" s="487">
        <f t="shared" si="9"/>
        <v>40300</v>
      </c>
      <c r="V11" s="488">
        <v>161200</v>
      </c>
      <c r="W11" s="486">
        <f t="shared" si="10"/>
        <v>24200</v>
      </c>
      <c r="X11" s="487">
        <f t="shared" si="11"/>
        <v>56400</v>
      </c>
      <c r="Y11" s="488">
        <v>181400</v>
      </c>
      <c r="Z11" s="486">
        <f t="shared" si="12"/>
        <v>24200</v>
      </c>
      <c r="AA11" s="487">
        <f t="shared" si="13"/>
        <v>76600</v>
      </c>
    </row>
    <row r="12" spans="1:27">
      <c r="A12" s="178"/>
      <c r="B12" s="23">
        <v>2</v>
      </c>
      <c r="C12" s="482">
        <v>84500</v>
      </c>
      <c r="D12" s="483">
        <v>93000</v>
      </c>
      <c r="E12" s="484">
        <f t="shared" si="0"/>
        <v>8500</v>
      </c>
      <c r="F12" s="483">
        <v>101400</v>
      </c>
      <c r="G12" s="485">
        <f t="shared" si="1"/>
        <v>16900</v>
      </c>
      <c r="H12" s="483">
        <v>109900</v>
      </c>
      <c r="I12" s="485">
        <f t="shared" si="2"/>
        <v>25400</v>
      </c>
      <c r="J12" s="483">
        <v>118300</v>
      </c>
      <c r="K12" s="486">
        <f t="shared" si="3"/>
        <v>25400</v>
      </c>
      <c r="L12" s="487">
        <f t="shared" si="4"/>
        <v>8400</v>
      </c>
      <c r="M12" s="488">
        <v>126800</v>
      </c>
      <c r="N12" s="486">
        <f t="shared" si="5"/>
        <v>25400</v>
      </c>
      <c r="O12" s="487">
        <f t="shared" si="7"/>
        <v>16900</v>
      </c>
      <c r="P12" s="488">
        <v>139400</v>
      </c>
      <c r="Q12" s="486">
        <f t="shared" si="6"/>
        <v>25400</v>
      </c>
      <c r="R12" s="487">
        <f t="shared" si="14"/>
        <v>29500</v>
      </c>
      <c r="S12" s="488">
        <v>152100</v>
      </c>
      <c r="T12" s="486">
        <f t="shared" si="8"/>
        <v>25400</v>
      </c>
      <c r="U12" s="487">
        <f t="shared" si="9"/>
        <v>42200</v>
      </c>
      <c r="V12" s="488">
        <v>169000</v>
      </c>
      <c r="W12" s="486">
        <f t="shared" si="10"/>
        <v>25400</v>
      </c>
      <c r="X12" s="487">
        <f t="shared" si="11"/>
        <v>59100</v>
      </c>
      <c r="Y12" s="488">
        <v>190100</v>
      </c>
      <c r="Z12" s="486">
        <f t="shared" si="12"/>
        <v>25400</v>
      </c>
      <c r="AA12" s="487">
        <f t="shared" si="13"/>
        <v>80200</v>
      </c>
    </row>
    <row r="13" spans="1:27">
      <c r="A13" s="178"/>
      <c r="B13" s="23">
        <v>3</v>
      </c>
      <c r="C13" s="482">
        <v>89100</v>
      </c>
      <c r="D13" s="483">
        <v>98000</v>
      </c>
      <c r="E13" s="484">
        <f t="shared" si="0"/>
        <v>8900</v>
      </c>
      <c r="F13" s="483">
        <v>106900</v>
      </c>
      <c r="G13" s="485">
        <f t="shared" si="1"/>
        <v>17800</v>
      </c>
      <c r="H13" s="483">
        <v>115800</v>
      </c>
      <c r="I13" s="485">
        <f t="shared" si="2"/>
        <v>26700</v>
      </c>
      <c r="J13" s="483">
        <v>124700</v>
      </c>
      <c r="K13" s="486">
        <f t="shared" si="3"/>
        <v>26700</v>
      </c>
      <c r="L13" s="487">
        <f t="shared" si="4"/>
        <v>8900</v>
      </c>
      <c r="M13" s="488">
        <v>133700</v>
      </c>
      <c r="N13" s="486">
        <f t="shared" si="5"/>
        <v>26700</v>
      </c>
      <c r="O13" s="487">
        <f t="shared" si="7"/>
        <v>17900</v>
      </c>
      <c r="P13" s="488">
        <v>147000</v>
      </c>
      <c r="Q13" s="486">
        <f t="shared" si="6"/>
        <v>26700</v>
      </c>
      <c r="R13" s="487">
        <f t="shared" si="14"/>
        <v>31200</v>
      </c>
      <c r="S13" s="488">
        <v>160400</v>
      </c>
      <c r="T13" s="486">
        <f t="shared" si="8"/>
        <v>26700</v>
      </c>
      <c r="U13" s="487">
        <f t="shared" si="9"/>
        <v>44600</v>
      </c>
      <c r="V13" s="488">
        <v>178200</v>
      </c>
      <c r="W13" s="486">
        <f t="shared" si="10"/>
        <v>26700</v>
      </c>
      <c r="X13" s="487">
        <f t="shared" si="11"/>
        <v>62400</v>
      </c>
      <c r="Y13" s="488">
        <v>200500</v>
      </c>
      <c r="Z13" s="486">
        <f t="shared" si="12"/>
        <v>26700</v>
      </c>
      <c r="AA13" s="487">
        <f t="shared" si="13"/>
        <v>84700</v>
      </c>
    </row>
    <row r="14" spans="1:27">
      <c r="A14" s="178"/>
      <c r="B14" s="23">
        <v>4</v>
      </c>
      <c r="C14" s="482">
        <v>94700</v>
      </c>
      <c r="D14" s="483">
        <v>104200</v>
      </c>
      <c r="E14" s="484">
        <f t="shared" si="0"/>
        <v>9500</v>
      </c>
      <c r="F14" s="483">
        <v>113600</v>
      </c>
      <c r="G14" s="485">
        <f t="shared" si="1"/>
        <v>18900</v>
      </c>
      <c r="H14" s="483">
        <v>123100</v>
      </c>
      <c r="I14" s="485">
        <f t="shared" si="2"/>
        <v>28400</v>
      </c>
      <c r="J14" s="483">
        <v>132600</v>
      </c>
      <c r="K14" s="486">
        <f t="shared" si="3"/>
        <v>28400</v>
      </c>
      <c r="L14" s="487">
        <f t="shared" si="4"/>
        <v>9500</v>
      </c>
      <c r="M14" s="488">
        <v>142100</v>
      </c>
      <c r="N14" s="486">
        <f t="shared" si="5"/>
        <v>28400</v>
      </c>
      <c r="O14" s="487">
        <f t="shared" si="7"/>
        <v>19000</v>
      </c>
      <c r="P14" s="488">
        <v>156300</v>
      </c>
      <c r="Q14" s="486">
        <f t="shared" si="6"/>
        <v>28400</v>
      </c>
      <c r="R14" s="487">
        <f t="shared" si="14"/>
        <v>33200</v>
      </c>
      <c r="S14" s="488">
        <v>170500</v>
      </c>
      <c r="T14" s="486">
        <f t="shared" si="8"/>
        <v>28400</v>
      </c>
      <c r="U14" s="487">
        <f t="shared" si="9"/>
        <v>47400</v>
      </c>
      <c r="V14" s="488">
        <v>189400</v>
      </c>
      <c r="W14" s="486">
        <f t="shared" si="10"/>
        <v>28400</v>
      </c>
      <c r="X14" s="487">
        <f t="shared" si="11"/>
        <v>66300</v>
      </c>
      <c r="Y14" s="488">
        <v>213100</v>
      </c>
      <c r="Z14" s="486">
        <f t="shared" si="12"/>
        <v>28400</v>
      </c>
      <c r="AA14" s="487">
        <f t="shared" si="13"/>
        <v>90000</v>
      </c>
    </row>
    <row r="15" spans="1:27" ht="13" thickBot="1">
      <c r="A15" s="179"/>
      <c r="B15" s="24">
        <v>5</v>
      </c>
      <c r="C15" s="489">
        <v>102000</v>
      </c>
      <c r="D15" s="476">
        <v>112200</v>
      </c>
      <c r="E15" s="477">
        <f t="shared" si="0"/>
        <v>10200</v>
      </c>
      <c r="F15" s="476">
        <v>122400</v>
      </c>
      <c r="G15" s="478">
        <f t="shared" si="1"/>
        <v>20400</v>
      </c>
      <c r="H15" s="476">
        <v>132600</v>
      </c>
      <c r="I15" s="478">
        <f t="shared" si="2"/>
        <v>30600</v>
      </c>
      <c r="J15" s="476">
        <v>142800</v>
      </c>
      <c r="K15" s="479">
        <f t="shared" si="3"/>
        <v>30600</v>
      </c>
      <c r="L15" s="480">
        <f t="shared" si="4"/>
        <v>10200</v>
      </c>
      <c r="M15" s="481">
        <v>153000</v>
      </c>
      <c r="N15" s="479">
        <f t="shared" si="5"/>
        <v>30600</v>
      </c>
      <c r="O15" s="480">
        <f t="shared" si="7"/>
        <v>20400</v>
      </c>
      <c r="P15" s="481">
        <v>168300</v>
      </c>
      <c r="Q15" s="479">
        <f t="shared" si="6"/>
        <v>30600</v>
      </c>
      <c r="R15" s="480">
        <f t="shared" si="14"/>
        <v>35700</v>
      </c>
      <c r="S15" s="481">
        <v>183600</v>
      </c>
      <c r="T15" s="479">
        <f t="shared" si="8"/>
        <v>30600</v>
      </c>
      <c r="U15" s="480">
        <f t="shared" si="9"/>
        <v>51000</v>
      </c>
      <c r="V15" s="481">
        <v>204000</v>
      </c>
      <c r="W15" s="479">
        <f t="shared" si="10"/>
        <v>30600</v>
      </c>
      <c r="X15" s="480">
        <f t="shared" si="11"/>
        <v>71400</v>
      </c>
      <c r="Y15" s="481">
        <v>229500</v>
      </c>
      <c r="Z15" s="479">
        <f t="shared" si="12"/>
        <v>30600</v>
      </c>
      <c r="AA15" s="480">
        <f t="shared" si="13"/>
        <v>96900</v>
      </c>
    </row>
    <row r="16" spans="1:27">
      <c r="A16" s="177" t="s">
        <v>25</v>
      </c>
      <c r="B16" s="22">
        <v>1</v>
      </c>
      <c r="C16" s="482"/>
      <c r="D16" s="483">
        <v>104300</v>
      </c>
      <c r="E16" s="484">
        <f t="shared" si="0"/>
        <v>104300</v>
      </c>
      <c r="F16" s="483">
        <v>113800</v>
      </c>
      <c r="G16" s="485">
        <f t="shared" si="1"/>
        <v>113800</v>
      </c>
      <c r="H16" s="483">
        <v>123200</v>
      </c>
      <c r="I16" s="485">
        <f t="shared" si="2"/>
        <v>123200</v>
      </c>
      <c r="J16" s="483">
        <v>132700</v>
      </c>
      <c r="K16" s="486">
        <f t="shared" si="3"/>
        <v>123200</v>
      </c>
      <c r="L16" s="487">
        <f t="shared" si="4"/>
        <v>9500</v>
      </c>
      <c r="M16" s="488">
        <v>142200</v>
      </c>
      <c r="N16" s="486">
        <f t="shared" si="5"/>
        <v>123200</v>
      </c>
      <c r="O16" s="487">
        <f t="shared" si="7"/>
        <v>19000</v>
      </c>
      <c r="P16" s="488">
        <v>156400</v>
      </c>
      <c r="Q16" s="486">
        <f t="shared" si="6"/>
        <v>123200</v>
      </c>
      <c r="R16" s="487">
        <f t="shared" si="14"/>
        <v>33200</v>
      </c>
      <c r="S16" s="488">
        <v>170600</v>
      </c>
      <c r="T16" s="486">
        <f t="shared" si="8"/>
        <v>123200</v>
      </c>
      <c r="U16" s="487">
        <f t="shared" si="9"/>
        <v>47400</v>
      </c>
      <c r="V16" s="488">
        <v>189600</v>
      </c>
      <c r="W16" s="486">
        <f t="shared" si="10"/>
        <v>123200</v>
      </c>
      <c r="X16" s="487">
        <f t="shared" si="11"/>
        <v>66400</v>
      </c>
      <c r="Y16" s="488">
        <v>213300</v>
      </c>
      <c r="Z16" s="486">
        <f t="shared" si="12"/>
        <v>123200</v>
      </c>
      <c r="AA16" s="487">
        <f t="shared" si="13"/>
        <v>90100</v>
      </c>
    </row>
    <row r="17" spans="1:27">
      <c r="A17" s="178"/>
      <c r="B17" s="23">
        <v>2</v>
      </c>
      <c r="C17" s="482">
        <v>94800</v>
      </c>
      <c r="D17" s="483">
        <v>112300</v>
      </c>
      <c r="E17" s="484">
        <f t="shared" si="0"/>
        <v>17500</v>
      </c>
      <c r="F17" s="483">
        <v>122500</v>
      </c>
      <c r="G17" s="485">
        <f t="shared" si="1"/>
        <v>27700</v>
      </c>
      <c r="H17" s="483">
        <v>132700</v>
      </c>
      <c r="I17" s="485">
        <f t="shared" si="2"/>
        <v>37900</v>
      </c>
      <c r="J17" s="483">
        <v>142900</v>
      </c>
      <c r="K17" s="486">
        <f t="shared" si="3"/>
        <v>37900</v>
      </c>
      <c r="L17" s="487">
        <f t="shared" si="4"/>
        <v>10200</v>
      </c>
      <c r="M17" s="488">
        <v>153200</v>
      </c>
      <c r="N17" s="486">
        <f t="shared" si="5"/>
        <v>37900</v>
      </c>
      <c r="O17" s="487">
        <f t="shared" si="7"/>
        <v>20500</v>
      </c>
      <c r="P17" s="488">
        <v>168500</v>
      </c>
      <c r="Q17" s="486">
        <f t="shared" si="6"/>
        <v>37900</v>
      </c>
      <c r="R17" s="487">
        <f t="shared" si="14"/>
        <v>35800</v>
      </c>
      <c r="S17" s="488">
        <v>183800</v>
      </c>
      <c r="T17" s="486">
        <f t="shared" si="8"/>
        <v>37900</v>
      </c>
      <c r="U17" s="487">
        <f t="shared" si="9"/>
        <v>51100</v>
      </c>
      <c r="V17" s="488">
        <v>204200</v>
      </c>
      <c r="W17" s="486">
        <f t="shared" si="10"/>
        <v>37900</v>
      </c>
      <c r="X17" s="487">
        <f t="shared" si="11"/>
        <v>71500</v>
      </c>
      <c r="Y17" s="488">
        <v>229700</v>
      </c>
      <c r="Z17" s="486">
        <f t="shared" si="12"/>
        <v>37900</v>
      </c>
      <c r="AA17" s="487">
        <f t="shared" si="13"/>
        <v>97000</v>
      </c>
    </row>
    <row r="18" spans="1:27">
      <c r="A18" s="178"/>
      <c r="B18" s="23">
        <v>3</v>
      </c>
      <c r="C18" s="482">
        <v>102100</v>
      </c>
      <c r="D18" s="483">
        <v>120500</v>
      </c>
      <c r="E18" s="484">
        <f t="shared" si="0"/>
        <v>18400</v>
      </c>
      <c r="F18" s="483">
        <v>131400</v>
      </c>
      <c r="G18" s="485">
        <f t="shared" si="1"/>
        <v>29300</v>
      </c>
      <c r="H18" s="483">
        <v>142400</v>
      </c>
      <c r="I18" s="485">
        <f t="shared" si="2"/>
        <v>40300</v>
      </c>
      <c r="J18" s="483">
        <v>153300</v>
      </c>
      <c r="K18" s="486">
        <f t="shared" si="3"/>
        <v>40300</v>
      </c>
      <c r="L18" s="487">
        <f t="shared" si="4"/>
        <v>10900</v>
      </c>
      <c r="M18" s="488">
        <v>164300</v>
      </c>
      <c r="N18" s="486">
        <f t="shared" si="5"/>
        <v>40300</v>
      </c>
      <c r="O18" s="487">
        <f t="shared" si="7"/>
        <v>21900</v>
      </c>
      <c r="P18" s="488">
        <v>180700</v>
      </c>
      <c r="Q18" s="486">
        <f t="shared" si="6"/>
        <v>40300</v>
      </c>
      <c r="R18" s="487">
        <f t="shared" si="14"/>
        <v>38300</v>
      </c>
      <c r="S18" s="488">
        <v>197100</v>
      </c>
      <c r="T18" s="486">
        <f t="shared" si="8"/>
        <v>40300</v>
      </c>
      <c r="U18" s="487">
        <f t="shared" si="9"/>
        <v>54700</v>
      </c>
      <c r="V18" s="488">
        <v>219000</v>
      </c>
      <c r="W18" s="486">
        <f t="shared" si="10"/>
        <v>40300</v>
      </c>
      <c r="X18" s="487">
        <f t="shared" si="11"/>
        <v>76600</v>
      </c>
      <c r="Y18" s="488">
        <v>246400</v>
      </c>
      <c r="Z18" s="486">
        <f t="shared" si="12"/>
        <v>40300</v>
      </c>
      <c r="AA18" s="487">
        <f t="shared" si="13"/>
        <v>104000</v>
      </c>
    </row>
    <row r="19" spans="1:27">
      <c r="A19" s="178"/>
      <c r="B19" s="23">
        <v>4</v>
      </c>
      <c r="C19" s="482">
        <v>109500</v>
      </c>
      <c r="D19" s="483">
        <v>129300</v>
      </c>
      <c r="E19" s="484">
        <f t="shared" si="0"/>
        <v>19800</v>
      </c>
      <c r="F19" s="483">
        <v>141000</v>
      </c>
      <c r="G19" s="485">
        <f t="shared" si="1"/>
        <v>31500</v>
      </c>
      <c r="H19" s="483">
        <v>152800</v>
      </c>
      <c r="I19" s="485">
        <f t="shared" si="2"/>
        <v>43300</v>
      </c>
      <c r="J19" s="483">
        <v>164500</v>
      </c>
      <c r="K19" s="486">
        <f t="shared" si="3"/>
        <v>43300</v>
      </c>
      <c r="L19" s="487">
        <f t="shared" si="4"/>
        <v>11700</v>
      </c>
      <c r="M19" s="488">
        <v>176300</v>
      </c>
      <c r="N19" s="486">
        <f t="shared" si="5"/>
        <v>43300</v>
      </c>
      <c r="O19" s="487">
        <f t="shared" si="7"/>
        <v>23500</v>
      </c>
      <c r="P19" s="488">
        <v>193900</v>
      </c>
      <c r="Q19" s="486">
        <f t="shared" si="6"/>
        <v>43300</v>
      </c>
      <c r="R19" s="487">
        <f t="shared" si="14"/>
        <v>41100</v>
      </c>
      <c r="S19" s="488">
        <v>211500</v>
      </c>
      <c r="T19" s="486">
        <f t="shared" si="8"/>
        <v>43300</v>
      </c>
      <c r="U19" s="487">
        <f t="shared" si="9"/>
        <v>58700</v>
      </c>
      <c r="V19" s="488">
        <v>235000</v>
      </c>
      <c r="W19" s="486">
        <f t="shared" si="10"/>
        <v>43300</v>
      </c>
      <c r="X19" s="487">
        <f t="shared" si="11"/>
        <v>82200</v>
      </c>
      <c r="Y19" s="488">
        <v>264400</v>
      </c>
      <c r="Z19" s="486">
        <f t="shared" si="12"/>
        <v>43300</v>
      </c>
      <c r="AA19" s="487">
        <f t="shared" si="13"/>
        <v>111600</v>
      </c>
    </row>
    <row r="20" spans="1:27">
      <c r="A20" s="178"/>
      <c r="B20" s="23">
        <v>5</v>
      </c>
      <c r="C20" s="482">
        <v>117500</v>
      </c>
      <c r="D20" s="483">
        <v>138500</v>
      </c>
      <c r="E20" s="484">
        <f t="shared" si="0"/>
        <v>21000</v>
      </c>
      <c r="F20" s="483">
        <v>151100</v>
      </c>
      <c r="G20" s="485">
        <f t="shared" si="1"/>
        <v>33600</v>
      </c>
      <c r="H20" s="483">
        <v>163700</v>
      </c>
      <c r="I20" s="485">
        <f t="shared" si="2"/>
        <v>46200</v>
      </c>
      <c r="J20" s="483">
        <v>176300</v>
      </c>
      <c r="K20" s="486">
        <f t="shared" si="3"/>
        <v>46200</v>
      </c>
      <c r="L20" s="487">
        <f t="shared" si="4"/>
        <v>12600</v>
      </c>
      <c r="M20" s="488">
        <v>188900</v>
      </c>
      <c r="N20" s="486">
        <f t="shared" si="5"/>
        <v>46200</v>
      </c>
      <c r="O20" s="487">
        <f t="shared" si="7"/>
        <v>25200</v>
      </c>
      <c r="P20" s="488">
        <v>207700</v>
      </c>
      <c r="Q20" s="486">
        <f t="shared" si="6"/>
        <v>46200</v>
      </c>
      <c r="R20" s="487">
        <f t="shared" si="14"/>
        <v>44000</v>
      </c>
      <c r="S20" s="488">
        <v>226600</v>
      </c>
      <c r="T20" s="486">
        <f t="shared" si="8"/>
        <v>46200</v>
      </c>
      <c r="U20" s="487">
        <f t="shared" si="9"/>
        <v>62900</v>
      </c>
      <c r="V20" s="488">
        <v>251800</v>
      </c>
      <c r="W20" s="486">
        <f t="shared" si="10"/>
        <v>46200</v>
      </c>
      <c r="X20" s="487">
        <f t="shared" si="11"/>
        <v>88100</v>
      </c>
      <c r="Y20" s="488">
        <v>283300</v>
      </c>
      <c r="Z20" s="486">
        <f t="shared" si="12"/>
        <v>46200</v>
      </c>
      <c r="AA20" s="487">
        <f t="shared" si="13"/>
        <v>119600</v>
      </c>
    </row>
    <row r="21" spans="1:27">
      <c r="A21" s="178"/>
      <c r="B21" s="23">
        <v>6</v>
      </c>
      <c r="C21" s="482">
        <v>125900</v>
      </c>
      <c r="D21" s="483">
        <v>149900</v>
      </c>
      <c r="E21" s="484">
        <f t="shared" si="0"/>
        <v>24000</v>
      </c>
      <c r="F21" s="483">
        <v>163600</v>
      </c>
      <c r="G21" s="485">
        <f t="shared" si="1"/>
        <v>37700</v>
      </c>
      <c r="H21" s="483">
        <v>177200</v>
      </c>
      <c r="I21" s="485">
        <f t="shared" si="2"/>
        <v>51300</v>
      </c>
      <c r="J21" s="483">
        <v>190800</v>
      </c>
      <c r="K21" s="486">
        <f t="shared" si="3"/>
        <v>51300</v>
      </c>
      <c r="L21" s="487">
        <f t="shared" si="4"/>
        <v>13600</v>
      </c>
      <c r="M21" s="488">
        <v>204500</v>
      </c>
      <c r="N21" s="486">
        <f t="shared" si="5"/>
        <v>51300</v>
      </c>
      <c r="O21" s="487">
        <f>M21-H21</f>
        <v>27300</v>
      </c>
      <c r="P21" s="488">
        <v>224900</v>
      </c>
      <c r="Q21" s="486">
        <f t="shared" si="6"/>
        <v>51300</v>
      </c>
      <c r="R21" s="487">
        <f>P21-H21</f>
        <v>47700</v>
      </c>
      <c r="S21" s="488">
        <v>245300</v>
      </c>
      <c r="T21" s="486">
        <f t="shared" si="8"/>
        <v>51300</v>
      </c>
      <c r="U21" s="487">
        <f t="shared" si="9"/>
        <v>68100</v>
      </c>
      <c r="V21" s="488">
        <v>272600</v>
      </c>
      <c r="W21" s="486">
        <f t="shared" si="10"/>
        <v>51300</v>
      </c>
      <c r="X21" s="487">
        <f t="shared" si="11"/>
        <v>95400</v>
      </c>
      <c r="Y21" s="488">
        <v>306700</v>
      </c>
      <c r="Z21" s="486">
        <f t="shared" si="12"/>
        <v>51300</v>
      </c>
      <c r="AA21" s="487">
        <f t="shared" si="13"/>
        <v>129500</v>
      </c>
    </row>
    <row r="22" spans="1:27">
      <c r="A22" s="178"/>
      <c r="B22" s="23">
        <v>7</v>
      </c>
      <c r="C22" s="482">
        <v>136300</v>
      </c>
      <c r="D22" s="483">
        <v>162300</v>
      </c>
      <c r="E22" s="484">
        <f t="shared" si="0"/>
        <v>26000</v>
      </c>
      <c r="F22" s="483">
        <v>177000</v>
      </c>
      <c r="G22" s="485">
        <f t="shared" si="1"/>
        <v>40700</v>
      </c>
      <c r="H22" s="483">
        <v>191800</v>
      </c>
      <c r="I22" s="485">
        <f t="shared" si="2"/>
        <v>55500</v>
      </c>
      <c r="J22" s="483">
        <v>206500</v>
      </c>
      <c r="K22" s="486">
        <f t="shared" si="3"/>
        <v>55500</v>
      </c>
      <c r="L22" s="487">
        <f t="shared" si="4"/>
        <v>14700</v>
      </c>
      <c r="M22" s="488">
        <v>221300</v>
      </c>
      <c r="N22" s="486">
        <f t="shared" si="5"/>
        <v>55500</v>
      </c>
      <c r="O22" s="487">
        <f>M22-H22</f>
        <v>29500</v>
      </c>
      <c r="P22" s="488">
        <v>243400</v>
      </c>
      <c r="Q22" s="486">
        <f t="shared" si="6"/>
        <v>55500</v>
      </c>
      <c r="R22" s="487">
        <f>P22-H22</f>
        <v>51600</v>
      </c>
      <c r="S22" s="488">
        <v>265500</v>
      </c>
      <c r="T22" s="486">
        <f t="shared" si="8"/>
        <v>55500</v>
      </c>
      <c r="U22" s="487">
        <f t="shared" si="9"/>
        <v>73700</v>
      </c>
      <c r="V22" s="488">
        <v>295000</v>
      </c>
      <c r="W22" s="486">
        <f t="shared" si="10"/>
        <v>55500</v>
      </c>
      <c r="X22" s="487">
        <f t="shared" si="11"/>
        <v>103200</v>
      </c>
      <c r="Y22" s="488">
        <v>331900</v>
      </c>
      <c r="Z22" s="486">
        <f t="shared" si="12"/>
        <v>55500</v>
      </c>
      <c r="AA22" s="487">
        <f t="shared" si="13"/>
        <v>140100</v>
      </c>
    </row>
    <row r="23" spans="1:27" ht="13" thickBot="1">
      <c r="A23" s="361"/>
      <c r="B23" s="24">
        <v>8</v>
      </c>
      <c r="C23" s="490">
        <v>147500</v>
      </c>
      <c r="D23" s="491">
        <v>175700</v>
      </c>
      <c r="E23" s="492">
        <f t="shared" si="0"/>
        <v>28200</v>
      </c>
      <c r="F23" s="491">
        <v>191600</v>
      </c>
      <c r="G23" s="493">
        <f>F23-C23</f>
        <v>44100</v>
      </c>
      <c r="H23" s="491">
        <v>207600</v>
      </c>
      <c r="I23" s="493">
        <f>H23-C23</f>
        <v>60100</v>
      </c>
      <c r="J23" s="491">
        <v>223600</v>
      </c>
      <c r="K23" s="494">
        <f t="shared" si="3"/>
        <v>60100</v>
      </c>
      <c r="L23" s="495">
        <f>J23-H23</f>
        <v>16000</v>
      </c>
      <c r="M23" s="496">
        <v>239600</v>
      </c>
      <c r="N23" s="494">
        <f t="shared" si="5"/>
        <v>60100</v>
      </c>
      <c r="O23" s="495">
        <f>M23-H23</f>
        <v>32000</v>
      </c>
      <c r="P23" s="496">
        <v>263500</v>
      </c>
      <c r="Q23" s="494">
        <f t="shared" si="6"/>
        <v>60100</v>
      </c>
      <c r="R23" s="495">
        <f>P23-H23</f>
        <v>55900</v>
      </c>
      <c r="S23" s="496">
        <v>287500</v>
      </c>
      <c r="T23" s="494">
        <f t="shared" si="8"/>
        <v>60100</v>
      </c>
      <c r="U23" s="495">
        <f t="shared" si="9"/>
        <v>79900</v>
      </c>
      <c r="V23" s="496">
        <v>319400</v>
      </c>
      <c r="W23" s="494">
        <f t="shared" si="10"/>
        <v>60100</v>
      </c>
      <c r="X23" s="495">
        <f t="shared" si="11"/>
        <v>111800</v>
      </c>
      <c r="Y23" s="496">
        <v>359300</v>
      </c>
      <c r="Z23" s="494">
        <f t="shared" si="12"/>
        <v>60100</v>
      </c>
      <c r="AA23" s="495">
        <f t="shared" si="13"/>
        <v>151700</v>
      </c>
    </row>
    <row r="24" spans="1:27" ht="13" thickBot="1">
      <c r="A24" s="366"/>
      <c r="B24" s="24">
        <v>9</v>
      </c>
      <c r="C24" s="497">
        <v>159700</v>
      </c>
      <c r="D24" s="498">
        <v>190300</v>
      </c>
      <c r="E24" s="499">
        <f t="shared" si="0"/>
        <v>30600</v>
      </c>
      <c r="F24" s="498">
        <v>207600</v>
      </c>
      <c r="G24" s="500">
        <f>F24-C24</f>
        <v>47900</v>
      </c>
      <c r="H24" s="498">
        <v>224900</v>
      </c>
      <c r="I24" s="500">
        <f>H24-C24</f>
        <v>65200</v>
      </c>
      <c r="J24" s="498">
        <v>242200</v>
      </c>
      <c r="K24" s="501">
        <f>I24</f>
        <v>65200</v>
      </c>
      <c r="L24" s="502">
        <f>J24-H24</f>
        <v>17300</v>
      </c>
      <c r="M24" s="503">
        <v>259500</v>
      </c>
      <c r="N24" s="501">
        <f>K24</f>
        <v>65200</v>
      </c>
      <c r="O24" s="502">
        <f>M24-H24</f>
        <v>34600</v>
      </c>
      <c r="P24" s="503">
        <v>285500</v>
      </c>
      <c r="Q24" s="501">
        <f>N24</f>
        <v>65200</v>
      </c>
      <c r="R24" s="502">
        <f>P24-H24</f>
        <v>60600</v>
      </c>
      <c r="S24" s="503">
        <v>311400</v>
      </c>
      <c r="T24" s="501">
        <f>Q24</f>
        <v>65200</v>
      </c>
      <c r="U24" s="502">
        <f>S24-H24</f>
        <v>86500</v>
      </c>
      <c r="V24" s="503">
        <v>346000</v>
      </c>
      <c r="W24" s="501">
        <f>T24</f>
        <v>65200</v>
      </c>
      <c r="X24" s="502">
        <f t="shared" si="11"/>
        <v>121100</v>
      </c>
      <c r="Y24" s="503">
        <v>389300</v>
      </c>
      <c r="Z24" s="501">
        <f>W24</f>
        <v>65200</v>
      </c>
      <c r="AA24" s="502">
        <f t="shared" si="13"/>
        <v>164400</v>
      </c>
    </row>
    <row r="25" spans="1:27" ht="13" thickBot="1"/>
    <row r="26" spans="1:27" ht="13" thickBot="1">
      <c r="D26" s="43" t="s">
        <v>26</v>
      </c>
      <c r="E26" s="44"/>
      <c r="F26" s="44"/>
      <c r="G26" s="44"/>
      <c r="H26" s="44"/>
      <c r="I26" s="44"/>
      <c r="J26" s="44"/>
      <c r="K26" s="387"/>
      <c r="L26" s="45"/>
      <c r="M26" s="44" t="s">
        <v>27</v>
      </c>
      <c r="N26" s="44"/>
      <c r="O26" s="44"/>
      <c r="P26" s="386"/>
      <c r="Q26" s="44"/>
      <c r="R26" s="44"/>
      <c r="S26" s="45"/>
      <c r="X26" s="54"/>
    </row>
    <row r="27" spans="1:27">
      <c r="A27" s="20"/>
      <c r="B27" s="20"/>
      <c r="C27" s="25" t="s">
        <v>18</v>
      </c>
      <c r="D27" s="26" t="s">
        <v>19</v>
      </c>
      <c r="E27" s="30" t="s">
        <v>19</v>
      </c>
      <c r="F27" s="30" t="s">
        <v>19</v>
      </c>
      <c r="G27" s="30" t="s">
        <v>19</v>
      </c>
      <c r="H27" s="30" t="s">
        <v>19</v>
      </c>
      <c r="I27" s="30" t="s">
        <v>19</v>
      </c>
      <c r="J27" s="31" t="s">
        <v>19</v>
      </c>
      <c r="K27" s="30" t="s">
        <v>19</v>
      </c>
      <c r="L27" s="27" t="s">
        <v>19</v>
      </c>
      <c r="M27" s="31" t="s">
        <v>19</v>
      </c>
      <c r="N27" s="31" t="s">
        <v>19</v>
      </c>
      <c r="O27" s="31" t="s">
        <v>19</v>
      </c>
      <c r="P27" s="30" t="s">
        <v>19</v>
      </c>
      <c r="Q27" s="30" t="s">
        <v>19</v>
      </c>
      <c r="R27" s="27" t="s">
        <v>19</v>
      </c>
      <c r="S27" s="29"/>
    </row>
    <row r="28" spans="1:27" ht="13" thickBot="1">
      <c r="A28" s="34" t="s">
        <v>20</v>
      </c>
      <c r="B28" s="21" t="s">
        <v>21</v>
      </c>
      <c r="C28" s="180" t="s">
        <v>19</v>
      </c>
      <c r="D28" s="390">
        <v>1</v>
      </c>
      <c r="E28" s="189">
        <v>2</v>
      </c>
      <c r="F28" s="189">
        <v>3</v>
      </c>
      <c r="G28" s="189">
        <v>4</v>
      </c>
      <c r="H28" s="189">
        <v>5</v>
      </c>
      <c r="I28" s="189">
        <v>6</v>
      </c>
      <c r="J28" s="189">
        <v>7</v>
      </c>
      <c r="K28" s="187">
        <v>8</v>
      </c>
      <c r="L28" s="185">
        <v>9</v>
      </c>
      <c r="M28" s="278">
        <v>4</v>
      </c>
      <c r="N28" s="277">
        <v>5</v>
      </c>
      <c r="O28" s="277">
        <v>6</v>
      </c>
      <c r="P28" s="278">
        <v>7</v>
      </c>
      <c r="Q28" s="278">
        <v>8</v>
      </c>
      <c r="R28" s="195">
        <v>9</v>
      </c>
      <c r="S28" s="33"/>
      <c r="W28" s="54"/>
    </row>
    <row r="29" spans="1:27" ht="13" thickBot="1">
      <c r="A29" s="42" t="s">
        <v>22</v>
      </c>
      <c r="B29" s="280" t="s">
        <v>85</v>
      </c>
      <c r="C29" s="181">
        <f>C4</f>
        <v>55900</v>
      </c>
      <c r="D29" s="188">
        <f>E4</f>
        <v>5600</v>
      </c>
      <c r="E29" s="188">
        <f>G4</f>
        <v>11200</v>
      </c>
      <c r="F29" s="188">
        <f>I4</f>
        <v>16800</v>
      </c>
      <c r="G29" s="188">
        <f>K4</f>
        <v>16800</v>
      </c>
      <c r="H29" s="188">
        <f>N4</f>
        <v>16800</v>
      </c>
      <c r="I29" s="188">
        <f>Q4</f>
        <v>16800</v>
      </c>
      <c r="J29" s="362">
        <f>T4</f>
        <v>16800</v>
      </c>
      <c r="K29" s="188">
        <f>W4</f>
        <v>16800</v>
      </c>
      <c r="L29" s="186">
        <f>Z4</f>
        <v>16800</v>
      </c>
      <c r="M29" s="388">
        <f>L4</f>
        <v>5600</v>
      </c>
      <c r="N29" s="388">
        <f>O4</f>
        <v>11200</v>
      </c>
      <c r="O29" s="389">
        <f>R4</f>
        <v>19500</v>
      </c>
      <c r="P29" s="279">
        <f>U4</f>
        <v>27900</v>
      </c>
      <c r="Q29" s="389">
        <f>X4</f>
        <v>39100</v>
      </c>
      <c r="R29" s="194">
        <f>AA4</f>
        <v>53100</v>
      </c>
      <c r="S29" s="391"/>
    </row>
    <row r="30" spans="1:27">
      <c r="A30" t="s">
        <v>29</v>
      </c>
      <c r="B30" s="380">
        <f>OffScaleCalc!E32</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c r="A31" t="s">
        <v>83</v>
      </c>
      <c r="B31">
        <f>IF(AND(Associate_Off="",Prof_Off="",Assistant_Off=""),Scale_Off,0)</f>
        <v>0</v>
      </c>
    </row>
    <row r="32" spans="1:27" ht="13" thickBot="1">
      <c r="A32" s="46" t="s">
        <v>28</v>
      </c>
      <c r="C32" s="203" t="s">
        <v>2</v>
      </c>
      <c r="D32" s="204">
        <v>1</v>
      </c>
      <c r="E32" s="204">
        <v>2</v>
      </c>
      <c r="F32" s="204">
        <v>3</v>
      </c>
      <c r="G32" s="204">
        <v>4</v>
      </c>
      <c r="H32" s="204">
        <v>5</v>
      </c>
      <c r="I32" s="204">
        <v>6</v>
      </c>
      <c r="J32" s="204">
        <v>7</v>
      </c>
      <c r="K32" s="204">
        <v>8</v>
      </c>
      <c r="L32" s="185">
        <v>9</v>
      </c>
      <c r="M32" s="199">
        <v>4</v>
      </c>
      <c r="N32" s="199">
        <v>5</v>
      </c>
      <c r="O32" s="199">
        <v>6</v>
      </c>
      <c r="P32" s="199">
        <v>7</v>
      </c>
      <c r="Q32" s="199">
        <v>8</v>
      </c>
      <c r="R32" s="193">
        <v>9</v>
      </c>
    </row>
    <row r="33" spans="1:24">
      <c r="A33" s="15" t="s">
        <v>23</v>
      </c>
      <c r="B33" s="22">
        <v>1</v>
      </c>
      <c r="C33" s="182">
        <f t="shared" ref="C33:C38" si="15">C5</f>
        <v>64900</v>
      </c>
      <c r="D33" s="190">
        <f t="shared" ref="D33:D38" si="16">E5</f>
        <v>6500</v>
      </c>
      <c r="E33" s="190">
        <f t="shared" ref="E33:E38" si="17">G5</f>
        <v>13000</v>
      </c>
      <c r="F33" s="190">
        <f t="shared" ref="F33:F38" si="18">I5</f>
        <v>19500</v>
      </c>
      <c r="G33" s="190">
        <f t="shared" ref="G33:G38" si="19">K5</f>
        <v>19500</v>
      </c>
      <c r="H33" s="190">
        <f t="shared" ref="H33:H38" si="20">N5</f>
        <v>19500</v>
      </c>
      <c r="I33" s="190">
        <f t="shared" ref="I33:I38" si="21">Q5</f>
        <v>19500</v>
      </c>
      <c r="J33" s="392">
        <f t="shared" ref="J33:J38" si="22">T5</f>
        <v>19500</v>
      </c>
      <c r="K33" s="190">
        <f t="shared" ref="K33:K38" si="23">W5</f>
        <v>19500</v>
      </c>
      <c r="L33" s="205">
        <f t="shared" ref="L33:L38" si="24">Z5</f>
        <v>19500</v>
      </c>
      <c r="M33" s="395">
        <f t="shared" ref="M33:M38" si="25">L5</f>
        <v>6500</v>
      </c>
      <c r="N33" s="200">
        <f t="shared" ref="N33:N38" si="26">O5</f>
        <v>13000</v>
      </c>
      <c r="O33" s="200">
        <f t="shared" ref="O33:O38" si="27">R5</f>
        <v>22700</v>
      </c>
      <c r="P33" s="200">
        <f t="shared" ref="P33:P38" si="28">U5</f>
        <v>32400</v>
      </c>
      <c r="Q33" s="200">
        <f t="shared" ref="Q33:Q38" si="29">X5</f>
        <v>45400</v>
      </c>
      <c r="R33" s="196">
        <f t="shared" ref="R33:R38" si="30">AA5</f>
        <v>61600</v>
      </c>
      <c r="S33" s="16"/>
    </row>
    <row r="34" spans="1:24">
      <c r="A34" s="17"/>
      <c r="B34" s="23">
        <v>2</v>
      </c>
      <c r="C34" s="183">
        <f t="shared" si="15"/>
        <v>68700</v>
      </c>
      <c r="D34" s="191">
        <f t="shared" si="16"/>
        <v>6900</v>
      </c>
      <c r="E34" s="191">
        <f t="shared" si="17"/>
        <v>13700</v>
      </c>
      <c r="F34" s="191">
        <f t="shared" si="18"/>
        <v>20600</v>
      </c>
      <c r="G34" s="191">
        <f t="shared" si="19"/>
        <v>20600</v>
      </c>
      <c r="H34" s="191">
        <f t="shared" si="20"/>
        <v>20600</v>
      </c>
      <c r="I34" s="191">
        <f t="shared" si="21"/>
        <v>20600</v>
      </c>
      <c r="J34" s="393">
        <f t="shared" si="22"/>
        <v>20600</v>
      </c>
      <c r="K34" s="191">
        <f t="shared" si="23"/>
        <v>20600</v>
      </c>
      <c r="L34" s="207">
        <f t="shared" si="24"/>
        <v>20600</v>
      </c>
      <c r="M34" s="396">
        <f t="shared" si="25"/>
        <v>6900</v>
      </c>
      <c r="N34" s="201">
        <f t="shared" si="26"/>
        <v>13800</v>
      </c>
      <c r="O34" s="201">
        <f t="shared" si="27"/>
        <v>24100</v>
      </c>
      <c r="P34" s="201">
        <f t="shared" si="28"/>
        <v>34400</v>
      </c>
      <c r="Q34" s="201">
        <f t="shared" si="29"/>
        <v>48100</v>
      </c>
      <c r="R34" s="197">
        <f t="shared" si="30"/>
        <v>65300</v>
      </c>
      <c r="S34" s="18"/>
    </row>
    <row r="35" spans="1:24">
      <c r="A35" s="17"/>
      <c r="B35" s="23">
        <v>3</v>
      </c>
      <c r="C35" s="183">
        <f t="shared" si="15"/>
        <v>72500</v>
      </c>
      <c r="D35" s="191">
        <f t="shared" si="16"/>
        <v>7300</v>
      </c>
      <c r="E35" s="191">
        <f t="shared" si="17"/>
        <v>14500</v>
      </c>
      <c r="F35" s="191">
        <f t="shared" si="18"/>
        <v>21800</v>
      </c>
      <c r="G35" s="191">
        <f t="shared" si="19"/>
        <v>21800</v>
      </c>
      <c r="H35" s="191">
        <f t="shared" si="20"/>
        <v>21800</v>
      </c>
      <c r="I35" s="191">
        <f t="shared" si="21"/>
        <v>21800</v>
      </c>
      <c r="J35" s="393">
        <f t="shared" si="22"/>
        <v>21800</v>
      </c>
      <c r="K35" s="191">
        <f t="shared" si="23"/>
        <v>21800</v>
      </c>
      <c r="L35" s="207">
        <f t="shared" si="24"/>
        <v>21800</v>
      </c>
      <c r="M35" s="396">
        <f t="shared" si="25"/>
        <v>7200</v>
      </c>
      <c r="N35" s="201">
        <f t="shared" si="26"/>
        <v>14500</v>
      </c>
      <c r="O35" s="201">
        <f t="shared" si="27"/>
        <v>25300</v>
      </c>
      <c r="P35" s="201">
        <f t="shared" si="28"/>
        <v>36200</v>
      </c>
      <c r="Q35" s="201">
        <f t="shared" si="29"/>
        <v>50700</v>
      </c>
      <c r="R35" s="197">
        <f t="shared" si="30"/>
        <v>68800</v>
      </c>
      <c r="S35" s="18"/>
    </row>
    <row r="36" spans="1:24">
      <c r="A36" s="17"/>
      <c r="B36" s="23">
        <v>4</v>
      </c>
      <c r="C36" s="183">
        <f t="shared" si="15"/>
        <v>76700</v>
      </c>
      <c r="D36" s="191">
        <f t="shared" si="16"/>
        <v>7700</v>
      </c>
      <c r="E36" s="191">
        <f t="shared" si="17"/>
        <v>15300</v>
      </c>
      <c r="F36" s="191">
        <f t="shared" si="18"/>
        <v>23000</v>
      </c>
      <c r="G36" s="191">
        <f t="shared" si="19"/>
        <v>23000</v>
      </c>
      <c r="H36" s="191">
        <f t="shared" si="20"/>
        <v>23000</v>
      </c>
      <c r="I36" s="191">
        <f t="shared" si="21"/>
        <v>23000</v>
      </c>
      <c r="J36" s="393">
        <f t="shared" si="22"/>
        <v>23000</v>
      </c>
      <c r="K36" s="191">
        <f t="shared" si="23"/>
        <v>23000</v>
      </c>
      <c r="L36" s="207">
        <f t="shared" si="24"/>
        <v>23000</v>
      </c>
      <c r="M36" s="396">
        <f t="shared" si="25"/>
        <v>7700</v>
      </c>
      <c r="N36" s="201">
        <f t="shared" si="26"/>
        <v>15400</v>
      </c>
      <c r="O36" s="201">
        <f t="shared" si="27"/>
        <v>26900</v>
      </c>
      <c r="P36" s="201">
        <f t="shared" si="28"/>
        <v>38400</v>
      </c>
      <c r="Q36" s="201">
        <f t="shared" si="29"/>
        <v>53700</v>
      </c>
      <c r="R36" s="197">
        <f t="shared" si="30"/>
        <v>72900</v>
      </c>
      <c r="S36" s="18"/>
      <c r="X36" s="54"/>
    </row>
    <row r="37" spans="1:24">
      <c r="A37" s="17"/>
      <c r="B37" s="23">
        <v>5</v>
      </c>
      <c r="C37" s="183">
        <f t="shared" si="15"/>
        <v>80500</v>
      </c>
      <c r="D37" s="191">
        <f t="shared" si="16"/>
        <v>8100</v>
      </c>
      <c r="E37" s="191">
        <f t="shared" si="17"/>
        <v>16100</v>
      </c>
      <c r="F37" s="191">
        <f t="shared" si="18"/>
        <v>24200</v>
      </c>
      <c r="G37" s="191">
        <f t="shared" si="19"/>
        <v>24200</v>
      </c>
      <c r="H37" s="191">
        <f t="shared" si="20"/>
        <v>24200</v>
      </c>
      <c r="I37" s="191">
        <f t="shared" si="21"/>
        <v>24200</v>
      </c>
      <c r="J37" s="393">
        <f t="shared" si="22"/>
        <v>24200</v>
      </c>
      <c r="K37" s="191">
        <f t="shared" si="23"/>
        <v>24200</v>
      </c>
      <c r="L37" s="207">
        <f t="shared" si="24"/>
        <v>24200</v>
      </c>
      <c r="M37" s="396">
        <f t="shared" si="25"/>
        <v>8000</v>
      </c>
      <c r="N37" s="201">
        <f t="shared" si="26"/>
        <v>16100</v>
      </c>
      <c r="O37" s="201">
        <f t="shared" si="27"/>
        <v>28100</v>
      </c>
      <c r="P37" s="201">
        <f t="shared" si="28"/>
        <v>40200</v>
      </c>
      <c r="Q37" s="201">
        <f t="shared" si="29"/>
        <v>56300</v>
      </c>
      <c r="R37" s="197">
        <f t="shared" si="30"/>
        <v>76400</v>
      </c>
      <c r="S37" s="18"/>
    </row>
    <row r="38" spans="1:24" ht="13" thickBot="1">
      <c r="A38" s="19"/>
      <c r="B38" s="24">
        <v>6</v>
      </c>
      <c r="C38" s="184">
        <f t="shared" si="15"/>
        <v>84400</v>
      </c>
      <c r="D38" s="192">
        <f t="shared" si="16"/>
        <v>8400</v>
      </c>
      <c r="E38" s="192">
        <f t="shared" si="17"/>
        <v>16900</v>
      </c>
      <c r="F38" s="192">
        <f t="shared" si="18"/>
        <v>25300</v>
      </c>
      <c r="G38" s="192">
        <f t="shared" si="19"/>
        <v>25300</v>
      </c>
      <c r="H38" s="192">
        <f t="shared" si="20"/>
        <v>25300</v>
      </c>
      <c r="I38" s="192">
        <f t="shared" si="21"/>
        <v>25300</v>
      </c>
      <c r="J38" s="394">
        <f t="shared" si="22"/>
        <v>25300</v>
      </c>
      <c r="K38" s="192">
        <f t="shared" si="23"/>
        <v>25300</v>
      </c>
      <c r="L38" s="209">
        <f t="shared" si="24"/>
        <v>25300</v>
      </c>
      <c r="M38" s="397">
        <f t="shared" si="25"/>
        <v>8500</v>
      </c>
      <c r="N38" s="202">
        <f t="shared" si="26"/>
        <v>16900</v>
      </c>
      <c r="O38" s="202">
        <f t="shared" si="27"/>
        <v>29600</v>
      </c>
      <c r="P38" s="202">
        <f t="shared" si="28"/>
        <v>42200</v>
      </c>
      <c r="Q38" s="202">
        <f t="shared" si="29"/>
        <v>59100</v>
      </c>
      <c r="R38" s="198">
        <f t="shared" si="30"/>
        <v>80200</v>
      </c>
      <c r="S38" s="12"/>
    </row>
    <row r="39" spans="1:24">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4"/>
    </row>
    <row r="40" spans="1:24">
      <c r="A40" t="s">
        <v>29</v>
      </c>
      <c r="B40">
        <f>OffScaleCalc!E33</f>
        <v>0</v>
      </c>
    </row>
    <row r="41" spans="1:24">
      <c r="A41" t="s">
        <v>1</v>
      </c>
      <c r="B41">
        <f>IF(AND(Associate_Off="",Prof_Off="",Instructor_Off=""),Scale_Off,0)</f>
        <v>0</v>
      </c>
    </row>
    <row r="44" spans="1:24" ht="13" thickBot="1">
      <c r="A44" s="46" t="s">
        <v>28</v>
      </c>
      <c r="C44" s="203" t="s">
        <v>2</v>
      </c>
      <c r="D44" s="204">
        <v>1</v>
      </c>
      <c r="E44" s="204">
        <v>2</v>
      </c>
      <c r="F44" s="204">
        <v>3</v>
      </c>
      <c r="G44" s="204">
        <v>4</v>
      </c>
      <c r="H44" s="204">
        <v>5</v>
      </c>
      <c r="I44" s="204">
        <v>6</v>
      </c>
      <c r="J44" s="204">
        <v>7</v>
      </c>
      <c r="K44" s="204">
        <v>8</v>
      </c>
      <c r="L44" s="185">
        <v>9</v>
      </c>
      <c r="M44" s="199">
        <v>4</v>
      </c>
      <c r="N44" s="199">
        <v>5</v>
      </c>
      <c r="O44" s="199">
        <v>6</v>
      </c>
      <c r="P44" s="199">
        <v>7</v>
      </c>
      <c r="Q44" s="199">
        <v>8</v>
      </c>
      <c r="R44" s="199">
        <v>9</v>
      </c>
    </row>
    <row r="45" spans="1:24">
      <c r="A45" s="15" t="s">
        <v>24</v>
      </c>
      <c r="B45" s="22">
        <v>1</v>
      </c>
      <c r="C45" s="182">
        <f>C11</f>
        <v>80600</v>
      </c>
      <c r="D45" s="190">
        <f>E11</f>
        <v>8100</v>
      </c>
      <c r="E45" s="190">
        <f>G11</f>
        <v>16100</v>
      </c>
      <c r="F45" s="190">
        <f>I11</f>
        <v>24200</v>
      </c>
      <c r="G45" s="190">
        <f>K11</f>
        <v>24200</v>
      </c>
      <c r="H45" s="190">
        <f>N11</f>
        <v>24200</v>
      </c>
      <c r="I45" s="206">
        <f>Q11</f>
        <v>24200</v>
      </c>
      <c r="J45" s="190">
        <f>T11</f>
        <v>24200</v>
      </c>
      <c r="K45" s="190">
        <f>W11</f>
        <v>24200</v>
      </c>
      <c r="L45" s="205">
        <f>Z11</f>
        <v>24200</v>
      </c>
      <c r="M45" s="395">
        <f>L11</f>
        <v>8000</v>
      </c>
      <c r="N45" s="200">
        <f>O11</f>
        <v>16100</v>
      </c>
      <c r="O45" s="200">
        <f>R11</f>
        <v>28200</v>
      </c>
      <c r="P45" s="200">
        <f>U11</f>
        <v>40300</v>
      </c>
      <c r="Q45" s="200">
        <f>X11</f>
        <v>56400</v>
      </c>
      <c r="R45" s="196">
        <f>AA11</f>
        <v>76600</v>
      </c>
      <c r="S45" s="16"/>
    </row>
    <row r="46" spans="1:24">
      <c r="A46" s="17"/>
      <c r="B46" s="23">
        <v>2</v>
      </c>
      <c r="C46" s="183">
        <f>C12</f>
        <v>84500</v>
      </c>
      <c r="D46" s="191">
        <f>E12</f>
        <v>8500</v>
      </c>
      <c r="E46" s="191">
        <f>G12</f>
        <v>16900</v>
      </c>
      <c r="F46" s="191">
        <f>I12</f>
        <v>25400</v>
      </c>
      <c r="G46" s="191">
        <f>K12</f>
        <v>25400</v>
      </c>
      <c r="H46" s="191">
        <f>N12</f>
        <v>25400</v>
      </c>
      <c r="I46" s="208">
        <f>Q12</f>
        <v>25400</v>
      </c>
      <c r="J46" s="191">
        <f>T12</f>
        <v>25400</v>
      </c>
      <c r="K46" s="191">
        <f>W12</f>
        <v>25400</v>
      </c>
      <c r="L46" s="207">
        <f>Z12</f>
        <v>25400</v>
      </c>
      <c r="M46" s="396">
        <f>L12</f>
        <v>8400</v>
      </c>
      <c r="N46" s="201">
        <f>O12</f>
        <v>16900</v>
      </c>
      <c r="O46" s="201">
        <f>R12</f>
        <v>29500</v>
      </c>
      <c r="P46" s="201">
        <f>U12</f>
        <v>42200</v>
      </c>
      <c r="Q46" s="201">
        <f>X12</f>
        <v>59100</v>
      </c>
      <c r="R46" s="197">
        <f>AA12</f>
        <v>80200</v>
      </c>
      <c r="S46" s="18"/>
    </row>
    <row r="47" spans="1:24">
      <c r="A47" s="17"/>
      <c r="B47" s="23">
        <v>3</v>
      </c>
      <c r="C47" s="183">
        <f>C13</f>
        <v>89100</v>
      </c>
      <c r="D47" s="191">
        <f>E13</f>
        <v>8900</v>
      </c>
      <c r="E47" s="191">
        <f>G13</f>
        <v>17800</v>
      </c>
      <c r="F47" s="191">
        <f>I13</f>
        <v>26700</v>
      </c>
      <c r="G47" s="191">
        <f>K13</f>
        <v>26700</v>
      </c>
      <c r="H47" s="191">
        <f>N13</f>
        <v>26700</v>
      </c>
      <c r="I47" s="208">
        <f>Q13</f>
        <v>26700</v>
      </c>
      <c r="J47" s="191">
        <f>T13</f>
        <v>26700</v>
      </c>
      <c r="K47" s="191">
        <f>W13</f>
        <v>26700</v>
      </c>
      <c r="L47" s="207">
        <f>Z13</f>
        <v>26700</v>
      </c>
      <c r="M47" s="396">
        <f>L13</f>
        <v>8900</v>
      </c>
      <c r="N47" s="201">
        <f>O13</f>
        <v>17900</v>
      </c>
      <c r="O47" s="201">
        <f>R13</f>
        <v>31200</v>
      </c>
      <c r="P47" s="201">
        <f>U13</f>
        <v>44600</v>
      </c>
      <c r="Q47" s="201">
        <f>X13</f>
        <v>62400</v>
      </c>
      <c r="R47" s="197">
        <f>AA13</f>
        <v>84700</v>
      </c>
      <c r="S47" s="18"/>
    </row>
    <row r="48" spans="1:24">
      <c r="A48" s="17"/>
      <c r="B48" s="23">
        <v>4</v>
      </c>
      <c r="C48" s="183">
        <f>C14</f>
        <v>94700</v>
      </c>
      <c r="D48" s="191">
        <f>E14</f>
        <v>9500</v>
      </c>
      <c r="E48" s="191">
        <f>G14</f>
        <v>18900</v>
      </c>
      <c r="F48" s="191">
        <f>I14</f>
        <v>28400</v>
      </c>
      <c r="G48" s="191">
        <f>K14</f>
        <v>28400</v>
      </c>
      <c r="H48" s="191">
        <f>N14</f>
        <v>28400</v>
      </c>
      <c r="I48" s="208">
        <f>Q14</f>
        <v>28400</v>
      </c>
      <c r="J48" s="191">
        <f>T14</f>
        <v>28400</v>
      </c>
      <c r="K48" s="191">
        <f>W14</f>
        <v>28400</v>
      </c>
      <c r="L48" s="207">
        <f>Z14</f>
        <v>28400</v>
      </c>
      <c r="M48" s="396">
        <f>L14</f>
        <v>9500</v>
      </c>
      <c r="N48" s="201">
        <f>O14</f>
        <v>19000</v>
      </c>
      <c r="O48" s="201">
        <f>R14</f>
        <v>33200</v>
      </c>
      <c r="P48" s="201">
        <f>U14</f>
        <v>47400</v>
      </c>
      <c r="Q48" s="201">
        <f>X14</f>
        <v>66300</v>
      </c>
      <c r="R48" s="197">
        <f>AA14</f>
        <v>90000</v>
      </c>
      <c r="S48" s="18"/>
    </row>
    <row r="49" spans="1:19" ht="13" thickBot="1">
      <c r="A49" s="19"/>
      <c r="B49" s="24">
        <v>5</v>
      </c>
      <c r="C49" s="184">
        <f>C15</f>
        <v>102000</v>
      </c>
      <c r="D49" s="192">
        <f>E15</f>
        <v>10200</v>
      </c>
      <c r="E49" s="192">
        <f>G15</f>
        <v>20400</v>
      </c>
      <c r="F49" s="192">
        <f>I15</f>
        <v>30600</v>
      </c>
      <c r="G49" s="192">
        <f>K15</f>
        <v>30600</v>
      </c>
      <c r="H49" s="192">
        <f>N15</f>
        <v>30600</v>
      </c>
      <c r="I49" s="210">
        <f>Q15</f>
        <v>30600</v>
      </c>
      <c r="J49" s="192">
        <f>T15</f>
        <v>30600</v>
      </c>
      <c r="K49" s="192">
        <f>W15</f>
        <v>30600</v>
      </c>
      <c r="L49" s="209">
        <f>Z15</f>
        <v>30600</v>
      </c>
      <c r="M49" s="397">
        <f>L15</f>
        <v>10200</v>
      </c>
      <c r="N49" s="202">
        <f>O15</f>
        <v>20400</v>
      </c>
      <c r="O49" s="202">
        <f>R15</f>
        <v>35700</v>
      </c>
      <c r="P49" s="202">
        <f>U15</f>
        <v>51000</v>
      </c>
      <c r="Q49" s="202">
        <f>X15</f>
        <v>71400</v>
      </c>
      <c r="R49" s="198">
        <f>AA15</f>
        <v>96900</v>
      </c>
      <c r="S49" s="12"/>
    </row>
    <row r="50" spans="1:19">
      <c r="C50" s="203"/>
      <c r="D50" s="203">
        <f>IF(Assoc_curr_scale_Off=1,IF(Assoc_curr_step_Off&lt;&gt;0,LOOKUP(Assoc_curr_step_Off,AssocSteps_Off,HST1_AP_Off),0),0)</f>
        <v>0</v>
      </c>
      <c r="E50" s="203">
        <f>IF(Assoc_curr_scale_Off=2,IF(Assoc_curr_step_Off&lt;&gt;0,LOOKUP(Assoc_curr_step_Off,AssocSteps_Off,HST2_AP_Off),0),0)</f>
        <v>0</v>
      </c>
      <c r="F50" s="203">
        <f>IF(Assoc_curr_scale_Off=3,IF(Assoc_curr_step_Off&lt;&gt;0,LOOKUP(Assoc_curr_step_Off,AssocSteps_Off,HST3_AP_Off),0),0)</f>
        <v>0</v>
      </c>
      <c r="G50" s="203">
        <f>IF(Assoc_curr_scale_Off=4,IF(Assoc_curr_step_Off&lt;&gt;0,LOOKUP(Assoc_curr_step_Off,AssocSteps_Off,HST4_AP_Off),0),0)</f>
        <v>0</v>
      </c>
      <c r="H50" s="203">
        <f>IF(Assoc_curr_scale_Off=5,IF(Assoc_curr_step_Off&lt;&gt;0,LOOKUP(Assoc_curr_step_Off,AssocSteps_Off,HST5_AP_Off),0),0)</f>
        <v>0</v>
      </c>
      <c r="I50" s="203">
        <f>IF(Assoc_curr_scale_Off=6,IF(Assoc_curr_step_Off&lt;&gt;0,LOOKUP(Assoc_curr_step_Off,AssocSteps_Off,HST6_AP_Off),0),0)</f>
        <v>0</v>
      </c>
      <c r="J50" s="203">
        <f>IF(Assoc_curr_scale_Off=7,IF(Assoc_curr_step_Off&lt;&gt;0,LOOKUP(Assoc_curr_step_Off,AssocSteps_Off,HST7_AP_Off),0),0)</f>
        <v>0</v>
      </c>
      <c r="K50" s="203">
        <f>IF(Assoc_curr_scale_Off=8,IF(Assoc_curr_step_Off&lt;&gt;0,LOOKUP(Assoc_curr_step_Off,AssocSteps_Off,K45:K49),0),0)</f>
        <v>0</v>
      </c>
      <c r="L50" s="203">
        <f>IF(Assoc_curr_scale_Off=9,IF(Assoc_curr_step_Off&lt;&gt;0,LOOKUP(Assoc_curr_step_Off,AssocSteps_Off,L45:L49),0),0)</f>
        <v>0</v>
      </c>
      <c r="M50" s="211">
        <f>IF(Assoc_curr_scale_Off=4,IF(Assoc_curr_step_Off&lt;&gt;0,LOOKUP(Assoc_curr_step_Off,AssocSteps_Off,M45:M49),0),0)</f>
        <v>0</v>
      </c>
      <c r="N50" s="211">
        <f>IF(Assoc_curr_scale_Off=5,IF(Assoc_curr_step_Off&lt;&gt;0,LOOKUP(Assoc_curr_step_Off,AssocSteps_Off,N45:N49),0),0)</f>
        <v>0</v>
      </c>
      <c r="O50" s="211">
        <f>IF(Assoc_curr_scale_Off=6,IF(Assoc_curr_step_Off&lt;&gt;0,LOOKUP(Assoc_curr_step_Off,AssocSteps_Off,O45:O49),0),0)</f>
        <v>0</v>
      </c>
      <c r="P50" s="211">
        <f>IF(Assoc_curr_scale_Off=7,IF(Assoc_curr_step_Off&lt;&gt;0,LOOKUP(Assoc_curr_step_Off,AssocSteps_Off,P45:P49),0),0)</f>
        <v>0</v>
      </c>
      <c r="Q50" s="211">
        <f>IF(Assoc_curr_scale_Off=8,IF(Assoc_curr_step_Off&lt;&gt;0,LOOKUP(Assoc_curr_step_Off,AssocSteps_Off,Q45:Q49),0),0)</f>
        <v>0</v>
      </c>
      <c r="R50" s="211">
        <f>IF(Assoc_curr_scale_Off=9,IF(Assoc_curr_step_Off&lt;&gt;0,LOOKUP(Assoc_curr_step_Off,AssocSteps_Off,R45:R49),0),0)</f>
        <v>0</v>
      </c>
    </row>
    <row r="51" spans="1:19">
      <c r="A51" t="s">
        <v>21</v>
      </c>
      <c r="B51">
        <f>OffScaleCalc!E34</f>
        <v>0</v>
      </c>
    </row>
    <row r="52" spans="1:19">
      <c r="A52" t="s">
        <v>19</v>
      </c>
      <c r="B52">
        <f>IF(AND(Assistant_Off="",Prof_Off="",Instructor_Off=""),Scale_Off,0)</f>
        <v>0</v>
      </c>
    </row>
    <row r="55" spans="1:19" ht="13" thickBot="1">
      <c r="A55" s="46" t="s">
        <v>28</v>
      </c>
      <c r="C55" s="203" t="s">
        <v>2</v>
      </c>
      <c r="D55" s="204">
        <v>1</v>
      </c>
      <c r="E55" s="204">
        <v>2</v>
      </c>
      <c r="F55" s="204">
        <v>3</v>
      </c>
      <c r="G55" s="204">
        <v>4</v>
      </c>
      <c r="H55" s="204">
        <v>5</v>
      </c>
      <c r="I55" s="204">
        <v>6</v>
      </c>
      <c r="J55" s="204">
        <v>7</v>
      </c>
      <c r="K55" s="204">
        <v>8</v>
      </c>
      <c r="L55" s="185">
        <v>9</v>
      </c>
      <c r="M55" s="199">
        <v>4</v>
      </c>
      <c r="N55" s="199">
        <v>5</v>
      </c>
      <c r="O55" s="199">
        <v>6</v>
      </c>
      <c r="P55" s="199">
        <v>7</v>
      </c>
      <c r="Q55" s="199">
        <v>8</v>
      </c>
      <c r="R55" s="193">
        <v>9</v>
      </c>
    </row>
    <row r="56" spans="1:19">
      <c r="A56" s="15" t="s">
        <v>25</v>
      </c>
      <c r="B56" s="22">
        <v>1</v>
      </c>
      <c r="C56" s="182">
        <f t="shared" ref="C56:C64" si="31">C16</f>
        <v>0</v>
      </c>
      <c r="D56" s="190">
        <f>E16</f>
        <v>104300</v>
      </c>
      <c r="E56" s="190">
        <f>G16</f>
        <v>113800</v>
      </c>
      <c r="F56" s="190">
        <f>I16</f>
        <v>123200</v>
      </c>
      <c r="G56" s="190">
        <f>K16</f>
        <v>123200</v>
      </c>
      <c r="H56" s="190">
        <f>N16</f>
        <v>123200</v>
      </c>
      <c r="I56" s="206">
        <f>Q16</f>
        <v>123200</v>
      </c>
      <c r="J56" s="190">
        <f>T16</f>
        <v>123200</v>
      </c>
      <c r="K56" s="190">
        <f>W16</f>
        <v>123200</v>
      </c>
      <c r="L56" s="205">
        <f>Z16</f>
        <v>123200</v>
      </c>
      <c r="M56" s="395">
        <f>L16</f>
        <v>9500</v>
      </c>
      <c r="N56" s="200">
        <f>O16</f>
        <v>19000</v>
      </c>
      <c r="O56" s="200">
        <f>R16</f>
        <v>33200</v>
      </c>
      <c r="P56" s="200">
        <f>U16</f>
        <v>47400</v>
      </c>
      <c r="Q56" s="200">
        <f>X16</f>
        <v>66400</v>
      </c>
      <c r="R56" s="196">
        <f>AA16</f>
        <v>90100</v>
      </c>
      <c r="S56" s="16"/>
    </row>
    <row r="57" spans="1:19">
      <c r="A57" s="17"/>
      <c r="B57" s="23">
        <v>2</v>
      </c>
      <c r="C57" s="183">
        <f t="shared" si="31"/>
        <v>94800</v>
      </c>
      <c r="D57" s="191">
        <f t="shared" ref="D57:D64" si="32">E17</f>
        <v>17500</v>
      </c>
      <c r="E57" s="191">
        <f t="shared" ref="E57:E63" si="33">G17</f>
        <v>27700</v>
      </c>
      <c r="F57" s="191">
        <f t="shared" ref="F57:F63" si="34">I17</f>
        <v>37900</v>
      </c>
      <c r="G57" s="191">
        <f t="shared" ref="G57:G63" si="35">K17</f>
        <v>37900</v>
      </c>
      <c r="H57" s="191">
        <f t="shared" ref="H57:H63" si="36">N17</f>
        <v>37900</v>
      </c>
      <c r="I57" s="208">
        <f t="shared" ref="I57:I63" si="37">Q17</f>
        <v>37900</v>
      </c>
      <c r="J57" s="191">
        <f t="shared" ref="J57:J63" si="38">T17</f>
        <v>37900</v>
      </c>
      <c r="K57" s="191">
        <f t="shared" ref="K57:K64" si="39">W17</f>
        <v>37900</v>
      </c>
      <c r="L57" s="207">
        <f t="shared" ref="L57:L64" si="40">Z17</f>
        <v>37900</v>
      </c>
      <c r="M57" s="396">
        <f t="shared" ref="M57:M64" si="41">L17</f>
        <v>10200</v>
      </c>
      <c r="N57" s="201">
        <f t="shared" ref="N57:N64" si="42">O17</f>
        <v>20500</v>
      </c>
      <c r="O57" s="201">
        <f t="shared" ref="O57:O64" si="43">R17</f>
        <v>35800</v>
      </c>
      <c r="P57" s="201">
        <f t="shared" ref="P57:P64" si="44">U17</f>
        <v>51100</v>
      </c>
      <c r="Q57" s="201">
        <f t="shared" ref="Q57:Q64" si="45">X17</f>
        <v>71500</v>
      </c>
      <c r="R57" s="197">
        <f t="shared" ref="R57:R64" si="46">AA17</f>
        <v>97000</v>
      </c>
      <c r="S57" s="18"/>
    </row>
    <row r="58" spans="1:19">
      <c r="A58" s="17"/>
      <c r="B58" s="23">
        <v>3</v>
      </c>
      <c r="C58" s="183">
        <f t="shared" si="31"/>
        <v>102100</v>
      </c>
      <c r="D58" s="191">
        <f t="shared" si="32"/>
        <v>18400</v>
      </c>
      <c r="E58" s="191">
        <f t="shared" si="33"/>
        <v>29300</v>
      </c>
      <c r="F58" s="191">
        <f t="shared" si="34"/>
        <v>40300</v>
      </c>
      <c r="G58" s="191">
        <f t="shared" si="35"/>
        <v>40300</v>
      </c>
      <c r="H58" s="191">
        <f t="shared" si="36"/>
        <v>40300</v>
      </c>
      <c r="I58" s="208">
        <f t="shared" si="37"/>
        <v>40300</v>
      </c>
      <c r="J58" s="191">
        <f t="shared" si="38"/>
        <v>40300</v>
      </c>
      <c r="K58" s="191">
        <f t="shared" si="39"/>
        <v>40300</v>
      </c>
      <c r="L58" s="207">
        <f t="shared" si="40"/>
        <v>40300</v>
      </c>
      <c r="M58" s="396">
        <f t="shared" si="41"/>
        <v>10900</v>
      </c>
      <c r="N58" s="201">
        <f t="shared" si="42"/>
        <v>21900</v>
      </c>
      <c r="O58" s="201">
        <f t="shared" si="43"/>
        <v>38300</v>
      </c>
      <c r="P58" s="201">
        <f t="shared" si="44"/>
        <v>54700</v>
      </c>
      <c r="Q58" s="201">
        <f t="shared" si="45"/>
        <v>76600</v>
      </c>
      <c r="R58" s="197">
        <f t="shared" si="46"/>
        <v>104000</v>
      </c>
      <c r="S58" s="18"/>
    </row>
    <row r="59" spans="1:19">
      <c r="A59" s="17"/>
      <c r="B59" s="23">
        <v>4</v>
      </c>
      <c r="C59" s="183">
        <f t="shared" si="31"/>
        <v>109500</v>
      </c>
      <c r="D59" s="191">
        <f t="shared" si="32"/>
        <v>19800</v>
      </c>
      <c r="E59" s="191">
        <f t="shared" si="33"/>
        <v>31500</v>
      </c>
      <c r="F59" s="191">
        <f t="shared" si="34"/>
        <v>43300</v>
      </c>
      <c r="G59" s="191">
        <f t="shared" si="35"/>
        <v>43300</v>
      </c>
      <c r="H59" s="191">
        <f t="shared" si="36"/>
        <v>43300</v>
      </c>
      <c r="I59" s="208">
        <f t="shared" si="37"/>
        <v>43300</v>
      </c>
      <c r="J59" s="191">
        <f t="shared" si="38"/>
        <v>43300</v>
      </c>
      <c r="K59" s="191">
        <f t="shared" si="39"/>
        <v>43300</v>
      </c>
      <c r="L59" s="207">
        <f t="shared" si="40"/>
        <v>43300</v>
      </c>
      <c r="M59" s="396">
        <f t="shared" si="41"/>
        <v>11700</v>
      </c>
      <c r="N59" s="201">
        <f t="shared" si="42"/>
        <v>23500</v>
      </c>
      <c r="O59" s="201">
        <f t="shared" si="43"/>
        <v>41100</v>
      </c>
      <c r="P59" s="201">
        <f t="shared" si="44"/>
        <v>58700</v>
      </c>
      <c r="Q59" s="201">
        <f t="shared" si="45"/>
        <v>82200</v>
      </c>
      <c r="R59" s="197">
        <f t="shared" si="46"/>
        <v>111600</v>
      </c>
      <c r="S59" s="18"/>
    </row>
    <row r="60" spans="1:19">
      <c r="A60" s="17"/>
      <c r="B60" s="23">
        <v>5</v>
      </c>
      <c r="C60" s="183">
        <f t="shared" si="31"/>
        <v>117500</v>
      </c>
      <c r="D60" s="191">
        <f t="shared" si="32"/>
        <v>21000</v>
      </c>
      <c r="E60" s="191">
        <f t="shared" si="33"/>
        <v>33600</v>
      </c>
      <c r="F60" s="191">
        <f t="shared" si="34"/>
        <v>46200</v>
      </c>
      <c r="G60" s="191">
        <f t="shared" si="35"/>
        <v>46200</v>
      </c>
      <c r="H60" s="191">
        <f t="shared" si="36"/>
        <v>46200</v>
      </c>
      <c r="I60" s="208">
        <f t="shared" si="37"/>
        <v>46200</v>
      </c>
      <c r="J60" s="191">
        <f t="shared" si="38"/>
        <v>46200</v>
      </c>
      <c r="K60" s="191">
        <f t="shared" si="39"/>
        <v>46200</v>
      </c>
      <c r="L60" s="207">
        <f t="shared" si="40"/>
        <v>46200</v>
      </c>
      <c r="M60" s="396">
        <f t="shared" si="41"/>
        <v>12600</v>
      </c>
      <c r="N60" s="201">
        <f t="shared" si="42"/>
        <v>25200</v>
      </c>
      <c r="O60" s="201">
        <f t="shared" si="43"/>
        <v>44000</v>
      </c>
      <c r="P60" s="201">
        <f t="shared" si="44"/>
        <v>62900</v>
      </c>
      <c r="Q60" s="201">
        <f t="shared" si="45"/>
        <v>88100</v>
      </c>
      <c r="R60" s="197">
        <f t="shared" si="46"/>
        <v>119600</v>
      </c>
      <c r="S60" s="18"/>
    </row>
    <row r="61" spans="1:19">
      <c r="A61" s="17"/>
      <c r="B61" s="23">
        <v>6</v>
      </c>
      <c r="C61" s="183">
        <f t="shared" si="31"/>
        <v>125900</v>
      </c>
      <c r="D61" s="191">
        <f t="shared" si="32"/>
        <v>24000</v>
      </c>
      <c r="E61" s="191">
        <f t="shared" si="33"/>
        <v>37700</v>
      </c>
      <c r="F61" s="191">
        <f t="shared" si="34"/>
        <v>51300</v>
      </c>
      <c r="G61" s="191">
        <f t="shared" si="35"/>
        <v>51300</v>
      </c>
      <c r="H61" s="191">
        <f t="shared" si="36"/>
        <v>51300</v>
      </c>
      <c r="I61" s="208">
        <f t="shared" si="37"/>
        <v>51300</v>
      </c>
      <c r="J61" s="191">
        <f t="shared" si="38"/>
        <v>51300</v>
      </c>
      <c r="K61" s="191">
        <f t="shared" si="39"/>
        <v>51300</v>
      </c>
      <c r="L61" s="207">
        <f t="shared" si="40"/>
        <v>51300</v>
      </c>
      <c r="M61" s="396">
        <f t="shared" si="41"/>
        <v>13600</v>
      </c>
      <c r="N61" s="201">
        <f t="shared" si="42"/>
        <v>27300</v>
      </c>
      <c r="O61" s="201">
        <f t="shared" si="43"/>
        <v>47700</v>
      </c>
      <c r="P61" s="201">
        <f t="shared" si="44"/>
        <v>68100</v>
      </c>
      <c r="Q61" s="201">
        <f t="shared" si="45"/>
        <v>95400</v>
      </c>
      <c r="R61" s="197">
        <f t="shared" si="46"/>
        <v>129500</v>
      </c>
      <c r="S61" s="18"/>
    </row>
    <row r="62" spans="1:19">
      <c r="A62" s="17"/>
      <c r="B62" s="23">
        <v>7</v>
      </c>
      <c r="C62" s="183">
        <f t="shared" si="31"/>
        <v>136300</v>
      </c>
      <c r="D62" s="191">
        <f t="shared" si="32"/>
        <v>26000</v>
      </c>
      <c r="E62" s="191">
        <f t="shared" si="33"/>
        <v>40700</v>
      </c>
      <c r="F62" s="191">
        <f t="shared" si="34"/>
        <v>55500</v>
      </c>
      <c r="G62" s="191">
        <f t="shared" si="35"/>
        <v>55500</v>
      </c>
      <c r="H62" s="191">
        <f t="shared" si="36"/>
        <v>55500</v>
      </c>
      <c r="I62" s="208">
        <f t="shared" si="37"/>
        <v>55500</v>
      </c>
      <c r="J62" s="191">
        <f t="shared" si="38"/>
        <v>55500</v>
      </c>
      <c r="K62" s="191">
        <f t="shared" si="39"/>
        <v>55500</v>
      </c>
      <c r="L62" s="207">
        <f t="shared" si="40"/>
        <v>55500</v>
      </c>
      <c r="M62" s="396">
        <f t="shared" si="41"/>
        <v>14700</v>
      </c>
      <c r="N62" s="201">
        <f t="shared" si="42"/>
        <v>29500</v>
      </c>
      <c r="O62" s="201">
        <f t="shared" si="43"/>
        <v>51600</v>
      </c>
      <c r="P62" s="201">
        <f t="shared" si="44"/>
        <v>73700</v>
      </c>
      <c r="Q62" s="201">
        <f t="shared" si="45"/>
        <v>103200</v>
      </c>
      <c r="R62" s="197">
        <f t="shared" si="46"/>
        <v>140100</v>
      </c>
      <c r="S62" s="18"/>
    </row>
    <row r="63" spans="1:19" ht="13" thickBot="1">
      <c r="A63" s="364"/>
      <c r="B63" s="23">
        <v>8</v>
      </c>
      <c r="C63" s="183">
        <f t="shared" si="31"/>
        <v>147500</v>
      </c>
      <c r="D63" s="191">
        <f t="shared" si="32"/>
        <v>28200</v>
      </c>
      <c r="E63" s="191">
        <f t="shared" si="33"/>
        <v>44100</v>
      </c>
      <c r="F63" s="191">
        <f t="shared" si="34"/>
        <v>60100</v>
      </c>
      <c r="G63" s="191">
        <f t="shared" si="35"/>
        <v>60100</v>
      </c>
      <c r="H63" s="191">
        <f t="shared" si="36"/>
        <v>60100</v>
      </c>
      <c r="I63" s="208">
        <f t="shared" si="37"/>
        <v>60100</v>
      </c>
      <c r="J63" s="191">
        <f t="shared" si="38"/>
        <v>60100</v>
      </c>
      <c r="K63" s="191">
        <f t="shared" si="39"/>
        <v>60100</v>
      </c>
      <c r="L63" s="207">
        <f t="shared" si="40"/>
        <v>60100</v>
      </c>
      <c r="M63" s="396">
        <f t="shared" si="41"/>
        <v>16000</v>
      </c>
      <c r="N63" s="201">
        <f t="shared" si="42"/>
        <v>32000</v>
      </c>
      <c r="O63" s="201">
        <f t="shared" si="43"/>
        <v>55900</v>
      </c>
      <c r="P63" s="201">
        <f t="shared" si="44"/>
        <v>79900</v>
      </c>
      <c r="Q63" s="201">
        <f t="shared" si="45"/>
        <v>111800</v>
      </c>
      <c r="R63" s="197">
        <f t="shared" si="46"/>
        <v>151700</v>
      </c>
      <c r="S63" s="12"/>
    </row>
    <row r="64" spans="1:19" ht="13" thickBot="1">
      <c r="A64" s="369"/>
      <c r="B64" s="365">
        <v>9</v>
      </c>
      <c r="C64" s="366">
        <f t="shared" si="31"/>
        <v>159700</v>
      </c>
      <c r="D64" s="367">
        <f t="shared" si="32"/>
        <v>30600</v>
      </c>
      <c r="E64" s="367">
        <f>G24</f>
        <v>47900</v>
      </c>
      <c r="F64" s="367">
        <f>I24</f>
        <v>65200</v>
      </c>
      <c r="G64" s="367">
        <f>K24</f>
        <v>65200</v>
      </c>
      <c r="H64" s="367">
        <f>N24</f>
        <v>65200</v>
      </c>
      <c r="I64" s="368">
        <f>Q24</f>
        <v>65200</v>
      </c>
      <c r="J64" s="192">
        <f>T24</f>
        <v>65200</v>
      </c>
      <c r="K64" s="192">
        <f t="shared" si="39"/>
        <v>65200</v>
      </c>
      <c r="L64" s="209">
        <f t="shared" si="40"/>
        <v>65200</v>
      </c>
      <c r="M64" s="397">
        <f t="shared" si="41"/>
        <v>17300</v>
      </c>
      <c r="N64" s="202">
        <f t="shared" si="42"/>
        <v>34600</v>
      </c>
      <c r="O64" s="202">
        <f t="shared" si="43"/>
        <v>60600</v>
      </c>
      <c r="P64" s="202">
        <f t="shared" si="44"/>
        <v>86500</v>
      </c>
      <c r="Q64" s="202">
        <f t="shared" si="45"/>
        <v>121100</v>
      </c>
      <c r="R64" s="198">
        <f t="shared" si="46"/>
        <v>164400</v>
      </c>
      <c r="S64" s="35"/>
    </row>
    <row r="65" spans="1:18">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c r="A66" t="s">
        <v>21</v>
      </c>
      <c r="B66">
        <f>OffScaleCalc!E35</f>
        <v>0</v>
      </c>
    </row>
    <row r="67" spans="1:18">
      <c r="A67" t="s">
        <v>19</v>
      </c>
      <c r="B67">
        <f>IF(AND(Assistant_Off="",Associate_Off="",Instructor_Off=""),Scale_Off,0)</f>
        <v>0</v>
      </c>
    </row>
  </sheetData>
  <sheetProtection password="C7E2"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1"/>
  <sheetViews>
    <sheetView zoomScale="125" zoomScaleNormal="125" zoomScalePageLayoutView="125" workbookViewId="0">
      <selection activeCell="B26" sqref="B26"/>
    </sheetView>
  </sheetViews>
  <sheetFormatPr baseColWidth="10" defaultColWidth="11.5" defaultRowHeight="12" x14ac:dyDescent="0"/>
  <cols>
    <col min="2" max="2" width="19.5" customWidth="1"/>
    <col min="3" max="3" width="24.5" customWidth="1"/>
    <col min="4" max="4" width="21.83203125" customWidth="1"/>
    <col min="5" max="5" width="22.5" customWidth="1"/>
    <col min="6" max="6" width="23" customWidth="1"/>
    <col min="7" max="7" width="24.33203125" customWidth="1"/>
  </cols>
  <sheetData>
    <row r="1" spans="2:7" ht="14" customHeight="1">
      <c r="B1" s="512"/>
      <c r="C1" s="512"/>
      <c r="D1" s="512"/>
      <c r="E1" s="512"/>
    </row>
    <row r="2" spans="2:7" ht="59" customHeight="1">
      <c r="B2" s="723" t="s">
        <v>155</v>
      </c>
      <c r="C2" s="723"/>
      <c r="D2" s="723"/>
      <c r="E2" s="723"/>
      <c r="F2" s="723"/>
    </row>
    <row r="3" spans="2:7" ht="13" thickBot="1"/>
    <row r="4" spans="2:7" ht="31" thickBot="1">
      <c r="B4" s="513" t="s">
        <v>156</v>
      </c>
      <c r="C4" s="514" t="s">
        <v>157</v>
      </c>
      <c r="D4" s="514" t="s">
        <v>158</v>
      </c>
      <c r="E4" s="514" t="s">
        <v>159</v>
      </c>
      <c r="F4" s="514" t="s">
        <v>160</v>
      </c>
      <c r="G4" s="515" t="s">
        <v>161</v>
      </c>
    </row>
    <row r="5" spans="2:7" ht="46" thickBot="1">
      <c r="B5" s="516" t="s">
        <v>162</v>
      </c>
      <c r="C5" s="517" t="s">
        <v>163</v>
      </c>
      <c r="D5" s="518">
        <v>199700</v>
      </c>
      <c r="E5" s="517" t="s">
        <v>164</v>
      </c>
      <c r="F5" s="517" t="s">
        <v>165</v>
      </c>
      <c r="G5" s="519" t="s">
        <v>166</v>
      </c>
    </row>
    <row r="6" spans="2:7" ht="23" customHeight="1">
      <c r="B6" s="725" t="s">
        <v>167</v>
      </c>
      <c r="C6" s="725" t="s">
        <v>168</v>
      </c>
      <c r="D6" s="520" t="s">
        <v>169</v>
      </c>
      <c r="E6" s="725" t="s">
        <v>171</v>
      </c>
      <c r="F6" s="725" t="s">
        <v>172</v>
      </c>
      <c r="G6" s="725" t="s">
        <v>166</v>
      </c>
    </row>
    <row r="7" spans="2:7" ht="46" thickBot="1">
      <c r="B7" s="726"/>
      <c r="C7" s="726"/>
      <c r="D7" s="517" t="s">
        <v>170</v>
      </c>
      <c r="E7" s="726"/>
      <c r="F7" s="726"/>
      <c r="G7" s="726"/>
    </row>
    <row r="8" spans="2:7" ht="33" customHeight="1">
      <c r="B8" s="725" t="s">
        <v>167</v>
      </c>
      <c r="C8" s="725" t="s">
        <v>173</v>
      </c>
      <c r="D8" s="520" t="s">
        <v>169</v>
      </c>
      <c r="E8" s="725" t="s">
        <v>175</v>
      </c>
      <c r="F8" s="725" t="s">
        <v>172</v>
      </c>
      <c r="G8" s="725" t="s">
        <v>166</v>
      </c>
    </row>
    <row r="9" spans="2:7" ht="46" thickBot="1">
      <c r="B9" s="726"/>
      <c r="C9" s="726"/>
      <c r="D9" s="517" t="s">
        <v>174</v>
      </c>
      <c r="E9" s="726"/>
      <c r="F9" s="726"/>
      <c r="G9" s="726"/>
    </row>
    <row r="10" spans="2:7" ht="31" thickBot="1">
      <c r="B10" s="516" t="s">
        <v>176</v>
      </c>
      <c r="C10" s="517" t="s">
        <v>168</v>
      </c>
      <c r="D10" s="518">
        <v>179700</v>
      </c>
      <c r="E10" s="517" t="s">
        <v>177</v>
      </c>
      <c r="F10" s="517" t="s">
        <v>178</v>
      </c>
      <c r="G10" s="517" t="s">
        <v>166</v>
      </c>
    </row>
    <row r="11" spans="2:7" ht="46" thickBot="1">
      <c r="B11" s="516" t="s">
        <v>176</v>
      </c>
      <c r="C11" s="517" t="s">
        <v>173</v>
      </c>
      <c r="D11" s="518">
        <v>179700</v>
      </c>
      <c r="E11" s="517" t="s">
        <v>175</v>
      </c>
      <c r="F11" s="517" t="s">
        <v>178</v>
      </c>
      <c r="G11" s="517" t="s">
        <v>166</v>
      </c>
    </row>
    <row r="14" spans="2:7" ht="23" customHeight="1">
      <c r="B14" s="579" t="s">
        <v>179</v>
      </c>
      <c r="C14" s="579"/>
      <c r="D14" s="579"/>
      <c r="E14" s="579"/>
      <c r="F14" s="579"/>
      <c r="G14" s="579"/>
    </row>
    <row r="15" spans="2:7" ht="19" customHeight="1">
      <c r="B15" s="724" t="s">
        <v>180</v>
      </c>
      <c r="C15" s="724"/>
      <c r="D15" s="724"/>
      <c r="E15" s="724"/>
      <c r="F15" s="724"/>
      <c r="G15" s="724"/>
    </row>
    <row r="17" spans="2:6">
      <c r="B17" s="582" t="s">
        <v>181</v>
      </c>
      <c r="C17" s="582"/>
      <c r="D17" s="582"/>
      <c r="E17" s="582"/>
      <c r="F17" s="582"/>
    </row>
    <row r="18" spans="2:6">
      <c r="B18" s="262" t="s">
        <v>182</v>
      </c>
      <c r="C18" s="511"/>
      <c r="D18" s="511"/>
      <c r="E18" s="511"/>
      <c r="F18" s="511"/>
    </row>
    <row r="19" spans="2:6">
      <c r="B19" s="262" t="s">
        <v>183</v>
      </c>
    </row>
    <row r="21" spans="2:6">
      <c r="B21" s="511" t="s">
        <v>190</v>
      </c>
    </row>
  </sheetData>
  <mergeCells count="14">
    <mergeCell ref="B2:F2"/>
    <mergeCell ref="B14:G14"/>
    <mergeCell ref="B15:G15"/>
    <mergeCell ref="B17:F17"/>
    <mergeCell ref="B6:B7"/>
    <mergeCell ref="C6:C7"/>
    <mergeCell ref="E6:E7"/>
    <mergeCell ref="F6:F7"/>
    <mergeCell ref="G6:G7"/>
    <mergeCell ref="B8:B9"/>
    <mergeCell ref="C8:C9"/>
    <mergeCell ref="E8:E9"/>
    <mergeCell ref="F8:F9"/>
    <mergeCell ref="G8:G9"/>
  </mergeCells>
  <hyperlinks>
    <hyperlink ref="B14" r:id="rId1"/>
    <hyperlink ref="C14" r:id="rId2" display="http://report.nih.gov/FileLink.aspx?rid=824"/>
    <hyperlink ref="D14" r:id="rId3" display="http://report.nih.gov/FileLink.aspx?rid=824"/>
    <hyperlink ref="E14" r:id="rId4" display="http://report.nih.gov/FileLink.aspx?rid=824"/>
    <hyperlink ref="F14" r:id="rId5" display="http://report.nih.gov/FileLink.aspx?rid=824"/>
    <hyperlink ref="G14" r:id="rId6" display="http://report.nih.gov/FileLink.aspx?rid=824"/>
    <hyperlink ref="B15" r:id="rId7"/>
    <hyperlink ref="C15" r:id="rId8" display="http://grants.nih.gov/grants/guide/notice-files/NOT-OD-12-035.html"/>
    <hyperlink ref="D15" r:id="rId9" display="http://grants.nih.gov/grants/guide/notice-files/NOT-OD-12-035.html"/>
    <hyperlink ref="E15" r:id="rId10" display="http://grants.nih.gov/grants/guide/notice-files/NOT-OD-12-035.html"/>
    <hyperlink ref="F15" r:id="rId11" display="http://grants.nih.gov/grants/guide/notice-files/NOT-OD-12-035.html"/>
    <hyperlink ref="G15" r:id="rId12" display="http://grants.nih.gov/grants/guide/notice-files/NOT-OD-12-035.html"/>
    <hyperlink ref="B19" r:id="rId13"/>
    <hyperlink ref="B18"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OnScaleCalc</vt:lpstr>
      <vt:lpstr>OffScaleCalc</vt:lpstr>
      <vt:lpstr>AboveScaleCalc</vt:lpstr>
      <vt:lpstr>GenlInstr</vt:lpstr>
      <vt:lpstr>OffScaleInstr</vt:lpstr>
      <vt:lpstr>AboveScaleInstr</vt:lpstr>
      <vt:lpstr>PayScale</vt:lpstr>
      <vt:lpstr>Payscale_Off</vt:lpstr>
      <vt:lpstr>NIH Salary CAP Guidance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Wilson Hardcastle</cp:lastModifiedBy>
  <cp:lastPrinted>2012-02-04T00:52:09Z</cp:lastPrinted>
  <dcterms:created xsi:type="dcterms:W3CDTF">1997-07-17T19:35:58Z</dcterms:created>
  <dcterms:modified xsi:type="dcterms:W3CDTF">2014-02-25T17:50:49Z</dcterms:modified>
</cp:coreProperties>
</file>