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Default Extension="emf" ContentType="image/x-em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2416"/>
  <workbookPr showInkAnnotation="0" codeName="ThisWorkbook" autoCompressPictures="0"/>
  <workbookProtection workbookPassword="C7E2" lockStructure="1"/>
  <bookViews>
    <workbookView xWindow="2260" yWindow="1520" windowWidth="38860" windowHeight="25400" tabRatio="686"/>
  </bookViews>
  <sheets>
    <sheet name="OnScaleCalc" sheetId="1" r:id="rId1"/>
    <sheet name="OffScaleCalc" sheetId="18" r:id="rId2"/>
    <sheet name="AboveScaleCalc" sheetId="19" r:id="rId3"/>
    <sheet name="GenlInstr" sheetId="14" r:id="rId4"/>
    <sheet name="OffScaleInstr" sheetId="15" r:id="rId5"/>
    <sheet name="AboveScaleInstr" sheetId="16" r:id="rId6"/>
    <sheet name="PayScale" sheetId="2" r:id="rId7"/>
    <sheet name="Payscale_Off" sheetId="4" r:id="rId8"/>
    <sheet name="NIH Salary CAP Guidance" sheetId="20" r:id="rId9"/>
  </sheets>
  <definedNames>
    <definedName name="_HSR4">PayScale!$K$33:$K$38</definedName>
    <definedName name="_HSR5">PayScale!$L$33:$L$38</definedName>
    <definedName name="_HSR6">PayScale!$M$33:$M$38</definedName>
    <definedName name="_HSR7">PayScale!$N$33:$N$38</definedName>
    <definedName name="_HST1">PayScale!$D$33:$D$38</definedName>
    <definedName name="_HST2">PayScale!$E$33:$E$38</definedName>
    <definedName name="_HST3">PayScale!$F$33:$F$38</definedName>
    <definedName name="_HST4">PayScale!$G$33:$G$38</definedName>
    <definedName name="_HST5">PayScale!$H$33:$H$38</definedName>
    <definedName name="_HST6">PayScale!$I$33:$I$38</definedName>
    <definedName name="_HST7">PayScale!$J$33:$J$38</definedName>
    <definedName name="Annual_Salary" localSheetId="2">AboveScaleCalc!$N$36</definedName>
    <definedName name="Annual_Salary" localSheetId="1">OffScaleCalc!$N$36</definedName>
    <definedName name="Annual_Salary">OnScaleCalc!$N$36</definedName>
    <definedName name="Annual_Salary_above">#REF!</definedName>
    <definedName name="Annual_Salary_Off">OffScaleCalc!$N$33</definedName>
    <definedName name="Assistant" localSheetId="2">AboveScaleCalc!$E$33</definedName>
    <definedName name="Assistant">OnScaleCalc!$E$33</definedName>
    <definedName name="Assistant_Off">OffScaleCalc!$E$33</definedName>
    <definedName name="Assoc_Base" localSheetId="2">AboveScaleCalc!$J$34</definedName>
    <definedName name="Assoc_Base">OnScaleCalc!$J$34</definedName>
    <definedName name="Assoc_base_Off">OffScaleCalc!$J$34</definedName>
    <definedName name="Assoc_curr_scale">PayScale!$B$52</definedName>
    <definedName name="Assoc_curr_scale_Off">Payscale_Off!$B$52</definedName>
    <definedName name="Assoc_curr_step">PayScale!$B$51</definedName>
    <definedName name="Assoc_curr_step_Off">Payscale_Off!$B$51</definedName>
    <definedName name="Assoc_Prof">PayScale!$B$11:$U$15</definedName>
    <definedName name="Assoc_Prof_Off">Payscale_Off!$B$11:$U$15</definedName>
    <definedName name="Assoc_Tot_HSR">PayScale!$M$50:$R$50</definedName>
    <definedName name="Assoc_Tot_HSR_Off">Payscale_Off!$M$50:$R$50</definedName>
    <definedName name="Assoc_Tot_HST">PayScale!$D$50:$L$50</definedName>
    <definedName name="Assoc_Tot_HST_Off">Payscale_Off!$D$50:$L$50</definedName>
    <definedName name="Associate" localSheetId="2">AboveScaleCalc!$E$34</definedName>
    <definedName name="Associate">OnScaleCalc!$E$34</definedName>
    <definedName name="Associate_Off">OffScaleCalc!$E$34</definedName>
    <definedName name="AssocSteps">PayScale!$B$45:$B$49</definedName>
    <definedName name="AssocSteps_Off">Payscale_Off!$B$45:$B$49</definedName>
    <definedName name="Asst_Base" localSheetId="2">AboveScaleCalc!$J$33</definedName>
    <definedName name="Asst_Base">OnScaleCalc!$J$33</definedName>
    <definedName name="Asst_base_Off">OffScaleCalc!$J$33</definedName>
    <definedName name="Asst_curr_scale">PayScale!$B$41</definedName>
    <definedName name="Asst_curr_scale_Off">Payscale_Off!$B$41</definedName>
    <definedName name="Asst_curr_step">PayScale!$B$40</definedName>
    <definedName name="Asst_curr_step_Off">Payscale_Off!$B$40</definedName>
    <definedName name="Asst_Prof">PayScale!$B$5:$U$10</definedName>
    <definedName name="Asst_Prof_Off">Payscale_Off!$B$5:$U$10</definedName>
    <definedName name="Asst_Tot_HSR">PayScale!$M$39:$R$39</definedName>
    <definedName name="Asst_Tot_HSR_Off">Payscale_Off!$M$39:$R$39</definedName>
    <definedName name="Asst_Tot_HST">PayScale!$D$39:$L$39</definedName>
    <definedName name="Asst_Tot_HST_Off">Payscale_Off!$D$39:$L$39</definedName>
    <definedName name="AsstSteps">PayScale!$B$33:$B$38</definedName>
    <definedName name="AsstSteps_Off">Payscale_Off!$B$33:$B$38</definedName>
    <definedName name="DeptXList">#REF!</definedName>
    <definedName name="f" localSheetId="2">AboveScaleCalc!$N$9</definedName>
    <definedName name="f" localSheetId="1">OffScaleCalc!$N$9</definedName>
    <definedName name="f">OnScaleCalc!$N$9</definedName>
    <definedName name="Fed_Limit" localSheetId="2">AboveScaleCalc!$N$7</definedName>
    <definedName name="Fed_Limit" localSheetId="1">OffScaleCalc!$N$7</definedName>
    <definedName name="Fed_Limit">OnScaleCalc!$N$7</definedName>
    <definedName name="Fed_Limit_Above">#REF!</definedName>
    <definedName name="Fed_Limit_Off">#REF!</definedName>
    <definedName name="Five" localSheetId="2">AboveScaleCalc!$N$9</definedName>
    <definedName name="Five" localSheetId="1">OffScaleCalc!$N$9</definedName>
    <definedName name="Five">OnScaleCalc!$N$9</definedName>
    <definedName name="Four" localSheetId="2">AboveScaleCalc!$N$8</definedName>
    <definedName name="Four" localSheetId="1">OffScaleCalc!$N$8</definedName>
    <definedName name="Four">OnScaleCalc!$N$8</definedName>
    <definedName name="FY2003_NIH_Salary_Cap_1_1_04_Forward">OffScaleCalc!$L$21</definedName>
    <definedName name="HSR_I4">PayScale!$K$29</definedName>
    <definedName name="HSR_I4_Off">Payscale_Off!$K$29</definedName>
    <definedName name="HSR_I5">PayScale!$L$29</definedName>
    <definedName name="HSR_I5_Off">Payscale_Off!$L$29</definedName>
    <definedName name="HSR_I6">PayScale!$M$29</definedName>
    <definedName name="HSR_I6_Off">Payscale_Off!$M$29</definedName>
    <definedName name="HSR_I7">PayScale!$N$29</definedName>
    <definedName name="HSR_I7_Off">Payscale_Off!$N$29</definedName>
    <definedName name="HSR4_AP">PayScale!$K$45:$K$49</definedName>
    <definedName name="HSR4_AP_Off">Payscale_Off!$K$45:$K$49</definedName>
    <definedName name="HSR4_Off">Payscale_Off!$K$33:$K$38</definedName>
    <definedName name="HSR4_P">PayScale!$K$56:$K$64</definedName>
    <definedName name="HSR4_P_Off">Payscale_Off!$K$56:$K$64</definedName>
    <definedName name="HSR5_AP">PayScale!$L$45:$L$49</definedName>
    <definedName name="HSR5_AP_Off">Payscale_Off!$L$45:$L$49</definedName>
    <definedName name="HSR5_Off">Payscale_Off!$L$33:$L$38</definedName>
    <definedName name="HSR5_P">PayScale!$L$56:$L$64</definedName>
    <definedName name="HSR5_P_Off">Payscale_Off!$L$56:$L$64</definedName>
    <definedName name="HSR6_AP">PayScale!$M$45:$M$49</definedName>
    <definedName name="HSR6_AP_Off">Payscale_Off!$M$45:$M$49</definedName>
    <definedName name="HSR6_Off">Payscale_Off!$M$33:$M$38</definedName>
    <definedName name="HSR6_P">PayScale!$M$56:$M$64</definedName>
    <definedName name="HSR6_P_Off">Payscale_Off!$M$56:$M$64</definedName>
    <definedName name="HSR7_AP">PayScale!$N$45:$N$49</definedName>
    <definedName name="HSR7_AP_Off">Payscale_Off!$N$45:$N$49</definedName>
    <definedName name="HSR7_Off">Payscale_Off!$N$33:$N$38</definedName>
    <definedName name="HSR7_P">PayScale!$N$56:$N$64</definedName>
    <definedName name="HSR7_P_Off">Payscale_Off!$N$56:$N$64</definedName>
    <definedName name="HST_I1">PayScale!$D$29</definedName>
    <definedName name="HST_I1_Off">Payscale_Off!$D$29</definedName>
    <definedName name="HST_I2">PayScale!$E$29</definedName>
    <definedName name="HST_I2_Off">Payscale_Off!$E$29</definedName>
    <definedName name="HST_I3">PayScale!$F$29</definedName>
    <definedName name="HST_I3_off">Payscale_Off!$F$29</definedName>
    <definedName name="HST_I4">PayScale!$G$29</definedName>
    <definedName name="HST_I4_Off">Payscale_Off!$G$29</definedName>
    <definedName name="HST_I5">PayScale!$H$29</definedName>
    <definedName name="HST_I5_Off">Payscale_Off!$H$29</definedName>
    <definedName name="HST_I6">PayScale!$I$29</definedName>
    <definedName name="HST_I6_Off">Payscale_Off!$I$29</definedName>
    <definedName name="HST_I7">PayScale!$J$29</definedName>
    <definedName name="HST_I7_Off">Payscale_Off!$J$29</definedName>
    <definedName name="HST1_AP">PayScale!$D$45:$D$49</definedName>
    <definedName name="HST1_AP_Off">Payscale_Off!$D$45:$D$49</definedName>
    <definedName name="HST1_Off">Payscale_Off!$D$33:$D$38</definedName>
    <definedName name="HST1_P">PayScale!$D$56:$D$64</definedName>
    <definedName name="HST1_P_Off">Payscale_Off!$D$56:$D$64</definedName>
    <definedName name="HST2_AP">PayScale!$E$45:$E$49</definedName>
    <definedName name="HST2_AP_Off">Payscale_Off!$E$45:$E$49</definedName>
    <definedName name="HST2_Off">Payscale_Off!$E$33:$E$38</definedName>
    <definedName name="HST2_P">PayScale!$E$56:$E$64</definedName>
    <definedName name="HST2_P_Off">Payscale_Off!$E$56:$E$64</definedName>
    <definedName name="HST3_AP">PayScale!$F$45:$F$49</definedName>
    <definedName name="HST3_AP_Off">Payscale_Off!$F$45:$F$49</definedName>
    <definedName name="HST3_Off">Payscale_Off!$F$33:$F$38</definedName>
    <definedName name="HST3_P">PayScale!$F$56:$F$64</definedName>
    <definedName name="HST3_P_Off">Payscale_Off!$F$56:$F$64</definedName>
    <definedName name="HST4_AP">PayScale!$G$45:$G$49</definedName>
    <definedName name="HST4_AP_Off">Payscale_Off!$G$45:$G$49</definedName>
    <definedName name="HST4_Off">Payscale_Off!$G$33:$G$38</definedName>
    <definedName name="HST4_P">PayScale!$G$56:$G$64</definedName>
    <definedName name="HST4_P_Off">Payscale_Off!$G$56:$G$64</definedName>
    <definedName name="HST5_AP">PayScale!$H$45:$H$49</definedName>
    <definedName name="HST5_AP_Off">Payscale_Off!$H$45:$H$49</definedName>
    <definedName name="HST5_Off">Payscale_Off!$H$33:$H$38</definedName>
    <definedName name="HST5_P">PayScale!$H$56:$H$64</definedName>
    <definedName name="HST5_P_Off">Payscale_Off!$H$56:$H$64</definedName>
    <definedName name="HST6_AP">PayScale!$I$45:$I$49</definedName>
    <definedName name="HST6_AP_Off">Payscale_Off!$I$45:$I$49</definedName>
    <definedName name="HST6_Off">Payscale_Off!$I$33:$I$38</definedName>
    <definedName name="HST6_P">PayScale!$I$56:$I$64</definedName>
    <definedName name="HST6_P_Off">Payscale_Off!$I$56:$I$64</definedName>
    <definedName name="HST7_AP">PayScale!$J$45:$J$49</definedName>
    <definedName name="HST7_AP_Off">Payscale_Off!$J$45:$J$49</definedName>
    <definedName name="HST7_Off">Payscale_Off!$J$33:$J$38</definedName>
    <definedName name="HST7_P">PayScale!$J$56:$J$64</definedName>
    <definedName name="HST7_P_Off">Payscale_Off!$J$56:$J$64</definedName>
    <definedName name="Instr_base" localSheetId="2">AboveScaleCalc!$J$32</definedName>
    <definedName name="Instr_base">OnScaleCalc!$J$32</definedName>
    <definedName name="Instr_base_Off">OffScaleCalc!$J$32</definedName>
    <definedName name="Instr_curr_Scale">PayScale!$B$31</definedName>
    <definedName name="Instr_curr_Scale_off">Payscale_Off!$B$31</definedName>
    <definedName name="Instr_curr_Step">PayScale!$B$30</definedName>
    <definedName name="Instr_curr_Step_off">Payscale_Off!$B$30</definedName>
    <definedName name="Instr_Range">PayScale!$B$4:$U$4</definedName>
    <definedName name="Instr_Range_off">Payscale_Off!$B$4:$U$4</definedName>
    <definedName name="Instr_Tot_HSR">PayScale!$M$30:$R$30</definedName>
    <definedName name="Instr_Tot_HSR_off">Payscale_Off!$M$30:$R$30</definedName>
    <definedName name="Instr_Tot_HST">PayScale!$D$30:$L$30</definedName>
    <definedName name="Instr_Tot_HST_off">Payscale_Off!$D$30:$L$30</definedName>
    <definedName name="InstrSteps">PayScale!$B$29</definedName>
    <definedName name="InstrSteps_off">Payscale_Off!$B$29</definedName>
    <definedName name="Instructor" localSheetId="2">AboveScaleCalc!$E$32</definedName>
    <definedName name="Instructor">OnScaleCalc!$E$32</definedName>
    <definedName name="Instructor_Off">OffScaleCalc!$E$32</definedName>
    <definedName name="Match">#REF!</definedName>
    <definedName name="matchrange">#REF!</definedName>
    <definedName name="New_Fed_Limit" localSheetId="2">AboveScaleCalc!$N$7</definedName>
    <definedName name="New_Fed_Limit" localSheetId="1">OffScaleCalc!$N$7</definedName>
    <definedName name="New_Fed_Limit">OnScaleCalc!$N$7</definedName>
    <definedName name="New_Fed_Limit_Above">#REF!</definedName>
    <definedName name="New_Fed_Limit_Off">#REF!</definedName>
    <definedName name="Old_Fed_Limit" localSheetId="2">AboveScaleCalc!$N$5</definedName>
    <definedName name="Old_Fed_Limit" localSheetId="1">OffScaleCalc!$N$5</definedName>
    <definedName name="Old_Fed_Limit">OnScaleCalc!$N$5</definedName>
    <definedName name="Old_Fed_Limit_Above">#REF!</definedName>
    <definedName name="Old_Fed_Limit_Off">#REF!</definedName>
    <definedName name="OverCAP" localSheetId="2">AboveScaleCalc!$N$21</definedName>
    <definedName name="OverCAP" localSheetId="1">OffScaleCalc!$N$21</definedName>
    <definedName name="OverCAP">OnScaleCalc!$N$21</definedName>
    <definedName name="OverCAP_above">#REF!</definedName>
    <definedName name="OverCAP_Off">#REF!</definedName>
    <definedName name="_xlnm.Print_Area" localSheetId="2">AboveScaleCalc!$A$1:$T$68</definedName>
    <definedName name="_xlnm.Print_Area" localSheetId="1">OffScaleCalc!$A$1:$T$68</definedName>
    <definedName name="_xlnm.Print_Area" localSheetId="0">OnScaleCalc!$A$1:$T$68</definedName>
    <definedName name="_xlnm.Print_Area" localSheetId="7">Payscale_Off!$A$2:$AA$24</definedName>
    <definedName name="Print_Area_Off">#REF!</definedName>
    <definedName name="_xlnm.Print_Titles" localSheetId="7">Payscale_Off!$A:$A</definedName>
    <definedName name="Prof">OnScaleCalc!$E$35</definedName>
    <definedName name="Prof_Above">AboveScaleCalc!$E$35</definedName>
    <definedName name="Prof_Base">OnScaleCalc!$J$35</definedName>
    <definedName name="Prof_Base_Above">AboveScaleCalc!$J$35</definedName>
    <definedName name="Prof_base_Off">OffScaleCalc!$J$35</definedName>
    <definedName name="Prof_curr_scale">PayScale!$B$67</definedName>
    <definedName name="Prof_curr_scale_Off">Payscale_Off!$B$67</definedName>
    <definedName name="Prof_curr_step">PayScale!$B$66</definedName>
    <definedName name="Prof_curr_step_Off">Payscale_Off!$B$66</definedName>
    <definedName name="Prof_Off">OffScaleCalc!$E$35</definedName>
    <definedName name="Prof_Tot_HSR">PayScale!$M$65:$R$65</definedName>
    <definedName name="Prof_Tot_HSR_Off">Payscale_Off!$M$65:$R$65</definedName>
    <definedName name="Prof_Tot_HST">PayScale!$D$65:$L$65</definedName>
    <definedName name="Prof_Tot_HST_Off">Payscale_Off!$D$65:$L$65</definedName>
    <definedName name="professor">PayScale!$B$16:$U$24</definedName>
    <definedName name="Professor_Off">Payscale_Off!$B$16:$U$24</definedName>
    <definedName name="ProfSteps">PayScale!$B$56:$B$64</definedName>
    <definedName name="ProfSteps_Off">Payscale_Off!$B$56:$B$64</definedName>
    <definedName name="REG">OffScaleCalc!$J$32</definedName>
    <definedName name="SalaryLimits" localSheetId="2">AboveScaleCalc!$M$7:$N$19</definedName>
    <definedName name="SalaryLimits" localSheetId="1">OffScaleCalc!$M$7:$N$19</definedName>
    <definedName name="SalaryLimits">OnScaleCalc!$M$7:$N$19</definedName>
    <definedName name="Scale">OnScaleCalc!$E$31</definedName>
    <definedName name="Scale_Above">AboveScaleCalc!$E$31</definedName>
    <definedName name="Scale_Off">OffScaleCalc!$E$31</definedName>
    <definedName name="Three" localSheetId="2">AboveScaleCalc!$N$7</definedName>
    <definedName name="Three" localSheetId="1">OffScaleCalc!$N$7</definedName>
    <definedName name="Three">OnScaleCalc!$N$7</definedName>
    <definedName name="Two" localSheetId="2">AboveScaleCalc!$N$6</definedName>
    <definedName name="Two" localSheetId="1">OffScaleCalc!$N$6</definedName>
    <definedName name="Two">OnScaleCalc!$N$6</definedName>
    <definedName name="XFactorSearch">#REF!</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H43" i="1" l="1"/>
  <c r="P19" i="19"/>
  <c r="P19" i="18"/>
  <c r="P19" i="1"/>
  <c r="J35" i="19"/>
  <c r="J32" i="19"/>
  <c r="J33" i="19"/>
  <c r="J34" i="19"/>
  <c r="J36" i="19"/>
  <c r="H25" i="19"/>
  <c r="N35" i="19"/>
  <c r="P18" i="19"/>
  <c r="P18" i="18"/>
  <c r="P18" i="1"/>
  <c r="AA24" i="4"/>
  <c r="I24" i="4"/>
  <c r="K24" i="4"/>
  <c r="N24" i="4"/>
  <c r="Q24" i="4"/>
  <c r="T24" i="4"/>
  <c r="W24" i="4"/>
  <c r="Z24" i="4"/>
  <c r="X24" i="4"/>
  <c r="U24" i="4"/>
  <c r="R24" i="4"/>
  <c r="O24" i="4"/>
  <c r="L24" i="4"/>
  <c r="G24" i="4"/>
  <c r="E24" i="4"/>
  <c r="AA23" i="4"/>
  <c r="I23" i="4"/>
  <c r="K23" i="4"/>
  <c r="N23" i="4"/>
  <c r="Q23" i="4"/>
  <c r="T23" i="4"/>
  <c r="W23" i="4"/>
  <c r="Z23" i="4"/>
  <c r="X23" i="4"/>
  <c r="U23" i="4"/>
  <c r="R23" i="4"/>
  <c r="O23" i="4"/>
  <c r="L23" i="4"/>
  <c r="G23" i="4"/>
  <c r="E23" i="4"/>
  <c r="AA22" i="4"/>
  <c r="I22" i="4"/>
  <c r="K22" i="4"/>
  <c r="N22" i="4"/>
  <c r="Q22" i="4"/>
  <c r="T22" i="4"/>
  <c r="W22" i="4"/>
  <c r="Z22" i="4"/>
  <c r="X22" i="4"/>
  <c r="U22" i="4"/>
  <c r="R22" i="4"/>
  <c r="O22" i="4"/>
  <c r="L22" i="4"/>
  <c r="G22" i="4"/>
  <c r="E22" i="4"/>
  <c r="AA21" i="4"/>
  <c r="I21" i="4"/>
  <c r="K21" i="4"/>
  <c r="N21" i="4"/>
  <c r="Q21" i="4"/>
  <c r="T21" i="4"/>
  <c r="W21" i="4"/>
  <c r="Z21" i="4"/>
  <c r="X21" i="4"/>
  <c r="U21" i="4"/>
  <c r="R21" i="4"/>
  <c r="O21" i="4"/>
  <c r="L21" i="4"/>
  <c r="G21" i="4"/>
  <c r="E21" i="4"/>
  <c r="AA20" i="4"/>
  <c r="I20" i="4"/>
  <c r="K20" i="4"/>
  <c r="N20" i="4"/>
  <c r="Q20" i="4"/>
  <c r="T20" i="4"/>
  <c r="W20" i="4"/>
  <c r="Z20" i="4"/>
  <c r="X20" i="4"/>
  <c r="U20" i="4"/>
  <c r="R20" i="4"/>
  <c r="O20" i="4"/>
  <c r="L20" i="4"/>
  <c r="G20" i="4"/>
  <c r="E20" i="4"/>
  <c r="AA19" i="4"/>
  <c r="I19" i="4"/>
  <c r="K19" i="4"/>
  <c r="N19" i="4"/>
  <c r="Q19" i="4"/>
  <c r="T19" i="4"/>
  <c r="W19" i="4"/>
  <c r="Z19" i="4"/>
  <c r="X19" i="4"/>
  <c r="U19" i="4"/>
  <c r="R19" i="4"/>
  <c r="O19" i="4"/>
  <c r="L19" i="4"/>
  <c r="G19" i="4"/>
  <c r="E19" i="4"/>
  <c r="AA18" i="4"/>
  <c r="I18" i="4"/>
  <c r="K18" i="4"/>
  <c r="N18" i="4"/>
  <c r="Q18" i="4"/>
  <c r="T18" i="4"/>
  <c r="W18" i="4"/>
  <c r="Z18" i="4"/>
  <c r="X18" i="4"/>
  <c r="U18" i="4"/>
  <c r="R18" i="4"/>
  <c r="O18" i="4"/>
  <c r="L18" i="4"/>
  <c r="G18" i="4"/>
  <c r="E18" i="4"/>
  <c r="AA17" i="4"/>
  <c r="I17" i="4"/>
  <c r="K17" i="4"/>
  <c r="N17" i="4"/>
  <c r="Q17" i="4"/>
  <c r="T17" i="4"/>
  <c r="W17" i="4"/>
  <c r="Z17" i="4"/>
  <c r="X17" i="4"/>
  <c r="U17" i="4"/>
  <c r="R17" i="4"/>
  <c r="O17" i="4"/>
  <c r="L17" i="4"/>
  <c r="G17" i="4"/>
  <c r="E17" i="4"/>
  <c r="AA16" i="4"/>
  <c r="I16" i="4"/>
  <c r="K16" i="4"/>
  <c r="N16" i="4"/>
  <c r="Q16" i="4"/>
  <c r="T16" i="4"/>
  <c r="W16" i="4"/>
  <c r="Z16" i="4"/>
  <c r="X16" i="4"/>
  <c r="U16" i="4"/>
  <c r="R16" i="4"/>
  <c r="O16" i="4"/>
  <c r="L16" i="4"/>
  <c r="G16" i="4"/>
  <c r="E16" i="4"/>
  <c r="AA15" i="4"/>
  <c r="I15" i="4"/>
  <c r="K15" i="4"/>
  <c r="N15" i="4"/>
  <c r="Q15" i="4"/>
  <c r="T15" i="4"/>
  <c r="W15" i="4"/>
  <c r="Z15" i="4"/>
  <c r="X15" i="4"/>
  <c r="U15" i="4"/>
  <c r="R15" i="4"/>
  <c r="O15" i="4"/>
  <c r="L15" i="4"/>
  <c r="G15" i="4"/>
  <c r="E15" i="4"/>
  <c r="AA14" i="4"/>
  <c r="I14" i="4"/>
  <c r="K14" i="4"/>
  <c r="N14" i="4"/>
  <c r="Q14" i="4"/>
  <c r="T14" i="4"/>
  <c r="W14" i="4"/>
  <c r="Z14" i="4"/>
  <c r="X14" i="4"/>
  <c r="U14" i="4"/>
  <c r="R14" i="4"/>
  <c r="O14" i="4"/>
  <c r="L14" i="4"/>
  <c r="G14" i="4"/>
  <c r="E14" i="4"/>
  <c r="AA13" i="4"/>
  <c r="I13" i="4"/>
  <c r="K13" i="4"/>
  <c r="N13" i="4"/>
  <c r="Q13" i="4"/>
  <c r="T13" i="4"/>
  <c r="W13" i="4"/>
  <c r="Z13" i="4"/>
  <c r="X13" i="4"/>
  <c r="U13" i="4"/>
  <c r="R13" i="4"/>
  <c r="O13" i="4"/>
  <c r="L13" i="4"/>
  <c r="G13" i="4"/>
  <c r="E13" i="4"/>
  <c r="AA12" i="4"/>
  <c r="I12" i="4"/>
  <c r="K12" i="4"/>
  <c r="N12" i="4"/>
  <c r="Q12" i="4"/>
  <c r="T12" i="4"/>
  <c r="W12" i="4"/>
  <c r="Z12" i="4"/>
  <c r="X12" i="4"/>
  <c r="U12" i="4"/>
  <c r="R12" i="4"/>
  <c r="O12" i="4"/>
  <c r="L12" i="4"/>
  <c r="G12" i="4"/>
  <c r="E12" i="4"/>
  <c r="AA11" i="4"/>
  <c r="I11" i="4"/>
  <c r="K11" i="4"/>
  <c r="N11" i="4"/>
  <c r="Q11" i="4"/>
  <c r="T11" i="4"/>
  <c r="W11" i="4"/>
  <c r="Z11" i="4"/>
  <c r="X11" i="4"/>
  <c r="U11" i="4"/>
  <c r="R11" i="4"/>
  <c r="O11" i="4"/>
  <c r="L11" i="4"/>
  <c r="G11" i="4"/>
  <c r="E11" i="4"/>
  <c r="AA10" i="4"/>
  <c r="I10" i="4"/>
  <c r="K10" i="4"/>
  <c r="N10" i="4"/>
  <c r="Q10" i="4"/>
  <c r="T10" i="4"/>
  <c r="W10" i="4"/>
  <c r="Z10" i="4"/>
  <c r="X10" i="4"/>
  <c r="U10" i="4"/>
  <c r="R10" i="4"/>
  <c r="O10" i="4"/>
  <c r="L10" i="4"/>
  <c r="G10" i="4"/>
  <c r="E10" i="4"/>
  <c r="AA9" i="4"/>
  <c r="I9" i="4"/>
  <c r="K9" i="4"/>
  <c r="N9" i="4"/>
  <c r="Q9" i="4"/>
  <c r="T9" i="4"/>
  <c r="W9" i="4"/>
  <c r="Z9" i="4"/>
  <c r="X9" i="4"/>
  <c r="U9" i="4"/>
  <c r="R9" i="4"/>
  <c r="O9" i="4"/>
  <c r="L9" i="4"/>
  <c r="G9" i="4"/>
  <c r="E9" i="4"/>
  <c r="AA8" i="4"/>
  <c r="I8" i="4"/>
  <c r="K8" i="4"/>
  <c r="N8" i="4"/>
  <c r="Q8" i="4"/>
  <c r="T8" i="4"/>
  <c r="W8" i="4"/>
  <c r="Z8" i="4"/>
  <c r="X8" i="4"/>
  <c r="U8" i="4"/>
  <c r="R8" i="4"/>
  <c r="O8" i="4"/>
  <c r="L8" i="4"/>
  <c r="G8" i="4"/>
  <c r="E8" i="4"/>
  <c r="AA7" i="4"/>
  <c r="I7" i="4"/>
  <c r="K7" i="4"/>
  <c r="N7" i="4"/>
  <c r="Q7" i="4"/>
  <c r="T7" i="4"/>
  <c r="W7" i="4"/>
  <c r="Z7" i="4"/>
  <c r="X7" i="4"/>
  <c r="U7" i="4"/>
  <c r="R7" i="4"/>
  <c r="O7" i="4"/>
  <c r="L7" i="4"/>
  <c r="G7" i="4"/>
  <c r="E7" i="4"/>
  <c r="AA6" i="4"/>
  <c r="I6" i="4"/>
  <c r="K6" i="4"/>
  <c r="N6" i="4"/>
  <c r="Q6" i="4"/>
  <c r="T6" i="4"/>
  <c r="W6" i="4"/>
  <c r="Z6" i="4"/>
  <c r="X6" i="4"/>
  <c r="U6" i="4"/>
  <c r="R6" i="4"/>
  <c r="O6" i="4"/>
  <c r="L6" i="4"/>
  <c r="G6" i="4"/>
  <c r="E6" i="4"/>
  <c r="AA5" i="4"/>
  <c r="I5" i="4"/>
  <c r="K5" i="4"/>
  <c r="N5" i="4"/>
  <c r="Q5" i="4"/>
  <c r="T5" i="4"/>
  <c r="W5" i="4"/>
  <c r="Z5" i="4"/>
  <c r="X5" i="4"/>
  <c r="U5" i="4"/>
  <c r="R5" i="4"/>
  <c r="O5" i="4"/>
  <c r="L5" i="4"/>
  <c r="G5" i="4"/>
  <c r="E5" i="4"/>
  <c r="AA4" i="4"/>
  <c r="I4" i="4"/>
  <c r="K4" i="4"/>
  <c r="N4" i="4"/>
  <c r="Q4" i="4"/>
  <c r="T4" i="4"/>
  <c r="W4" i="4"/>
  <c r="Z4" i="4"/>
  <c r="X4" i="4"/>
  <c r="U4" i="4"/>
  <c r="R4" i="4"/>
  <c r="O4" i="4"/>
  <c r="L4" i="4"/>
  <c r="G4" i="4"/>
  <c r="E4" i="4"/>
  <c r="K35" i="19"/>
  <c r="L35" i="19"/>
  <c r="B31" i="2"/>
  <c r="D30" i="2"/>
  <c r="I30" i="2"/>
  <c r="B41" i="2"/>
  <c r="K39" i="2"/>
  <c r="B52" i="2"/>
  <c r="G50" i="2"/>
  <c r="K50" i="2"/>
  <c r="M30" i="2"/>
  <c r="N30" i="2"/>
  <c r="O30" i="2"/>
  <c r="P30" i="2"/>
  <c r="Q30" i="2"/>
  <c r="R30" i="2"/>
  <c r="L32" i="19"/>
  <c r="M39" i="2"/>
  <c r="N39" i="2"/>
  <c r="O39" i="2"/>
  <c r="P39" i="2"/>
  <c r="Q39" i="2"/>
  <c r="R39" i="2"/>
  <c r="L33" i="19"/>
  <c r="M50" i="2"/>
  <c r="N50" i="2"/>
  <c r="O50" i="2"/>
  <c r="P50" i="2"/>
  <c r="Q50" i="2"/>
  <c r="R50" i="2"/>
  <c r="L34" i="19"/>
  <c r="J35" i="1"/>
  <c r="J34" i="1"/>
  <c r="J32" i="1"/>
  <c r="J33" i="1"/>
  <c r="P17" i="19"/>
  <c r="P17" i="18"/>
  <c r="P17" i="1"/>
  <c r="P16" i="19"/>
  <c r="P15" i="19"/>
  <c r="P16" i="18"/>
  <c r="P15" i="18"/>
  <c r="P16" i="1"/>
  <c r="P15" i="1"/>
  <c r="P14" i="1"/>
  <c r="P14" i="19"/>
  <c r="P14" i="18"/>
  <c r="P13" i="19"/>
  <c r="P12" i="19"/>
  <c r="P11" i="19"/>
  <c r="P10" i="19"/>
  <c r="P9" i="19"/>
  <c r="P8" i="19"/>
  <c r="P7" i="19"/>
  <c r="P13" i="18"/>
  <c r="P12" i="18"/>
  <c r="P11" i="18"/>
  <c r="P10" i="18"/>
  <c r="P9" i="18"/>
  <c r="P8" i="18"/>
  <c r="P7" i="18"/>
  <c r="P13" i="1"/>
  <c r="P12" i="1"/>
  <c r="P11" i="1"/>
  <c r="P10" i="1"/>
  <c r="P9" i="1"/>
  <c r="P8" i="1"/>
  <c r="P7" i="1"/>
  <c r="B51" i="2"/>
  <c r="N38" i="19"/>
  <c r="Q80" i="19"/>
  <c r="AG78" i="19"/>
  <c r="AA30" i="19"/>
  <c r="AB30" i="19"/>
  <c r="AA33" i="19"/>
  <c r="AA34" i="19"/>
  <c r="AB33" i="19"/>
  <c r="AB34" i="19"/>
  <c r="AA31" i="19"/>
  <c r="AB31" i="19"/>
  <c r="AB35" i="19"/>
  <c r="B40" i="2"/>
  <c r="B30" i="2"/>
  <c r="D29" i="2"/>
  <c r="J36" i="18"/>
  <c r="H25" i="18"/>
  <c r="B31" i="4"/>
  <c r="G30" i="4"/>
  <c r="B41" i="4"/>
  <c r="E39" i="4"/>
  <c r="H39" i="4"/>
  <c r="B52" i="4"/>
  <c r="E50" i="4"/>
  <c r="K50" i="4"/>
  <c r="B67" i="4"/>
  <c r="E65" i="4"/>
  <c r="D65" i="4"/>
  <c r="F65" i="4"/>
  <c r="G65" i="4"/>
  <c r="B66" i="4"/>
  <c r="H65" i="4"/>
  <c r="I65" i="4"/>
  <c r="J65" i="4"/>
  <c r="K65" i="4"/>
  <c r="L65" i="4"/>
  <c r="M30" i="4"/>
  <c r="O30" i="4"/>
  <c r="Q30" i="4"/>
  <c r="L32" i="18"/>
  <c r="N39" i="4"/>
  <c r="P39" i="4"/>
  <c r="R39" i="4"/>
  <c r="L33" i="18"/>
  <c r="M50" i="4"/>
  <c r="Q50" i="4"/>
  <c r="L34" i="18"/>
  <c r="M65" i="4"/>
  <c r="N65" i="4"/>
  <c r="O65" i="4"/>
  <c r="P65" i="4"/>
  <c r="Q65" i="4"/>
  <c r="R65" i="4"/>
  <c r="L35" i="18"/>
  <c r="B40" i="4"/>
  <c r="N38" i="18"/>
  <c r="H28" i="18"/>
  <c r="Q80" i="18"/>
  <c r="AG78" i="18"/>
  <c r="AA30" i="18"/>
  <c r="AB30" i="18"/>
  <c r="AA33" i="18"/>
  <c r="AA34" i="18"/>
  <c r="AB33" i="18"/>
  <c r="AB34" i="18"/>
  <c r="AA31" i="18"/>
  <c r="AA35" i="18"/>
  <c r="AB31" i="18"/>
  <c r="AB35" i="18"/>
  <c r="J37" i="18"/>
  <c r="B67" i="2"/>
  <c r="D65" i="2"/>
  <c r="B66" i="2"/>
  <c r="H65" i="2"/>
  <c r="L65" i="2"/>
  <c r="L32" i="1"/>
  <c r="L33" i="1"/>
  <c r="L34" i="1"/>
  <c r="N65" i="2"/>
  <c r="P65" i="2"/>
  <c r="R65" i="2"/>
  <c r="M57" i="2"/>
  <c r="M65" i="2"/>
  <c r="O65" i="2"/>
  <c r="Q65" i="2"/>
  <c r="L35" i="1"/>
  <c r="N38" i="1"/>
  <c r="Q80" i="1"/>
  <c r="AP78" i="1"/>
  <c r="AJ30" i="1"/>
  <c r="AK30" i="1"/>
  <c r="AJ33" i="1"/>
  <c r="AJ34" i="1"/>
  <c r="AK33" i="1"/>
  <c r="AK34" i="1"/>
  <c r="AJ31" i="1"/>
  <c r="AK31" i="1"/>
  <c r="L57" i="2"/>
  <c r="L58" i="2"/>
  <c r="L59" i="2"/>
  <c r="L60" i="2"/>
  <c r="L61" i="2"/>
  <c r="L62" i="2"/>
  <c r="L63" i="2"/>
  <c r="L64" i="2"/>
  <c r="K57" i="2"/>
  <c r="K58" i="2"/>
  <c r="K59" i="2"/>
  <c r="K60" i="2"/>
  <c r="K61" i="2"/>
  <c r="K62" i="2"/>
  <c r="K63" i="2"/>
  <c r="K64" i="2"/>
  <c r="L56" i="2"/>
  <c r="K56" i="2"/>
  <c r="N57" i="2"/>
  <c r="N58" i="2"/>
  <c r="N59" i="2"/>
  <c r="N60" i="2"/>
  <c r="N61" i="2"/>
  <c r="N62" i="2"/>
  <c r="N63" i="2"/>
  <c r="N64" i="2"/>
  <c r="M58" i="2"/>
  <c r="M59" i="2"/>
  <c r="M60" i="2"/>
  <c r="M61" i="2"/>
  <c r="M62" i="2"/>
  <c r="M63" i="2"/>
  <c r="M64" i="2"/>
  <c r="N56" i="2"/>
  <c r="M56" i="2"/>
  <c r="R57" i="2"/>
  <c r="R58" i="2"/>
  <c r="R59" i="2"/>
  <c r="R60" i="2"/>
  <c r="R61" i="2"/>
  <c r="R62" i="2"/>
  <c r="R63" i="2"/>
  <c r="R64" i="2"/>
  <c r="Q57" i="2"/>
  <c r="Q58" i="2"/>
  <c r="Q59" i="2"/>
  <c r="Q60" i="2"/>
  <c r="Q61" i="2"/>
  <c r="Q62" i="2"/>
  <c r="Q63" i="2"/>
  <c r="Q64" i="2"/>
  <c r="P57" i="2"/>
  <c r="P58" i="2"/>
  <c r="P59" i="2"/>
  <c r="P60" i="2"/>
  <c r="P61" i="2"/>
  <c r="P62" i="2"/>
  <c r="P63" i="2"/>
  <c r="P64" i="2"/>
  <c r="O57" i="2"/>
  <c r="O58" i="2"/>
  <c r="O59" i="2"/>
  <c r="O60" i="2"/>
  <c r="O61" i="2"/>
  <c r="O62" i="2"/>
  <c r="O63" i="2"/>
  <c r="O64" i="2"/>
  <c r="R56" i="2"/>
  <c r="Q56" i="2"/>
  <c r="P56" i="2"/>
  <c r="O56" i="2"/>
  <c r="L46" i="2"/>
  <c r="L47" i="2"/>
  <c r="L48" i="2"/>
  <c r="L49" i="2"/>
  <c r="K46" i="2"/>
  <c r="K47" i="2"/>
  <c r="K48" i="2"/>
  <c r="K49" i="2"/>
  <c r="L45" i="2"/>
  <c r="K45" i="2"/>
  <c r="R46" i="2"/>
  <c r="R47" i="2"/>
  <c r="R48" i="2"/>
  <c r="R49" i="2"/>
  <c r="Q49" i="2"/>
  <c r="Q46" i="2"/>
  <c r="Q47" i="2"/>
  <c r="Q48" i="2"/>
  <c r="R45" i="2"/>
  <c r="Q45" i="2"/>
  <c r="N46" i="2"/>
  <c r="N47" i="2"/>
  <c r="N48" i="2"/>
  <c r="N49" i="2"/>
  <c r="M46" i="2"/>
  <c r="M47" i="2"/>
  <c r="M48" i="2"/>
  <c r="M49" i="2"/>
  <c r="N45" i="2"/>
  <c r="M45" i="2"/>
  <c r="P46" i="2"/>
  <c r="P47" i="2"/>
  <c r="P48" i="2"/>
  <c r="P49" i="2"/>
  <c r="O46" i="2"/>
  <c r="O47" i="2"/>
  <c r="O48" i="2"/>
  <c r="O49" i="2"/>
  <c r="P45" i="2"/>
  <c r="O45" i="2"/>
  <c r="L34" i="2"/>
  <c r="L35" i="2"/>
  <c r="L36" i="2"/>
  <c r="L37" i="2"/>
  <c r="L38" i="2"/>
  <c r="L33" i="2"/>
  <c r="K34" i="2"/>
  <c r="K35" i="2"/>
  <c r="K36" i="2"/>
  <c r="K37" i="2"/>
  <c r="K38" i="2"/>
  <c r="K33" i="2"/>
  <c r="R34" i="2"/>
  <c r="R35" i="2"/>
  <c r="R36" i="2"/>
  <c r="R37" i="2"/>
  <c r="R38" i="2"/>
  <c r="R33" i="2"/>
  <c r="Q34" i="2"/>
  <c r="Q35" i="2"/>
  <c r="Q36" i="2"/>
  <c r="Q37" i="2"/>
  <c r="Q38" i="2"/>
  <c r="Q33" i="2"/>
  <c r="N34" i="2"/>
  <c r="N35" i="2"/>
  <c r="N36" i="2"/>
  <c r="N37" i="2"/>
  <c r="N38" i="2"/>
  <c r="N33" i="2"/>
  <c r="M34" i="2"/>
  <c r="M35" i="2"/>
  <c r="M36" i="2"/>
  <c r="M37" i="2"/>
  <c r="M38" i="2"/>
  <c r="M33" i="2"/>
  <c r="P38" i="2"/>
  <c r="P34" i="2"/>
  <c r="P35" i="2"/>
  <c r="P36" i="2"/>
  <c r="P37" i="2"/>
  <c r="P33" i="2"/>
  <c r="O34" i="2"/>
  <c r="O35" i="2"/>
  <c r="O36" i="2"/>
  <c r="O37" i="2"/>
  <c r="O38" i="2"/>
  <c r="O33" i="2"/>
  <c r="R29" i="2"/>
  <c r="Q29" i="2"/>
  <c r="L29" i="2"/>
  <c r="K29" i="2"/>
  <c r="N29" i="2"/>
  <c r="M29" i="2"/>
  <c r="P29" i="2"/>
  <c r="O29" i="2"/>
  <c r="E64" i="2"/>
  <c r="F64" i="2"/>
  <c r="G64" i="2"/>
  <c r="H64" i="2"/>
  <c r="I64" i="2"/>
  <c r="J64" i="2"/>
  <c r="D64" i="2"/>
  <c r="C64" i="2"/>
  <c r="J29" i="2"/>
  <c r="J49" i="2"/>
  <c r="J48" i="2"/>
  <c r="J47" i="2"/>
  <c r="J46" i="2"/>
  <c r="J45" i="2"/>
  <c r="J38" i="2"/>
  <c r="J37" i="2"/>
  <c r="J36" i="2"/>
  <c r="J35" i="2"/>
  <c r="J34" i="2"/>
  <c r="J33" i="2"/>
  <c r="J63" i="2"/>
  <c r="J62" i="2"/>
  <c r="J61" i="2"/>
  <c r="J60" i="2"/>
  <c r="J59" i="2"/>
  <c r="J58" i="2"/>
  <c r="J57" i="2"/>
  <c r="J56" i="2"/>
  <c r="I63" i="2"/>
  <c r="I62" i="2"/>
  <c r="I61" i="2"/>
  <c r="I60" i="2"/>
  <c r="I59" i="2"/>
  <c r="I58" i="2"/>
  <c r="I57" i="2"/>
  <c r="I56" i="2"/>
  <c r="H63" i="2"/>
  <c r="H62" i="2"/>
  <c r="H61" i="2"/>
  <c r="H60" i="2"/>
  <c r="H59" i="2"/>
  <c r="H58" i="2"/>
  <c r="H57" i="2"/>
  <c r="H56" i="2"/>
  <c r="G63" i="2"/>
  <c r="G62" i="2"/>
  <c r="G61" i="2"/>
  <c r="G60" i="2"/>
  <c r="G59" i="2"/>
  <c r="G58" i="2"/>
  <c r="G57" i="2"/>
  <c r="G56" i="2"/>
  <c r="F63" i="2"/>
  <c r="F62" i="2"/>
  <c r="F61" i="2"/>
  <c r="F60" i="2"/>
  <c r="F59" i="2"/>
  <c r="F58" i="2"/>
  <c r="F57" i="2"/>
  <c r="F56" i="2"/>
  <c r="E63" i="2"/>
  <c r="E62" i="2"/>
  <c r="E61" i="2"/>
  <c r="E60" i="2"/>
  <c r="E59" i="2"/>
  <c r="E58" i="2"/>
  <c r="E57" i="2"/>
  <c r="E56" i="2"/>
  <c r="D63" i="2"/>
  <c r="D62" i="2"/>
  <c r="D61" i="2"/>
  <c r="D60" i="2"/>
  <c r="D59" i="2"/>
  <c r="D58" i="2"/>
  <c r="D57" i="2"/>
  <c r="D56" i="2"/>
  <c r="C63" i="2"/>
  <c r="C62" i="2"/>
  <c r="C61" i="2"/>
  <c r="C60" i="2"/>
  <c r="C59" i="2"/>
  <c r="C58" i="2"/>
  <c r="C57" i="2"/>
  <c r="C56" i="2"/>
  <c r="I49" i="2"/>
  <c r="I48" i="2"/>
  <c r="I47" i="2"/>
  <c r="I46" i="2"/>
  <c r="I45" i="2"/>
  <c r="H49" i="2"/>
  <c r="H48" i="2"/>
  <c r="H47" i="2"/>
  <c r="H46" i="2"/>
  <c r="H45" i="2"/>
  <c r="G49" i="2"/>
  <c r="G48" i="2"/>
  <c r="G47" i="2"/>
  <c r="G46" i="2"/>
  <c r="G45" i="2"/>
  <c r="F49" i="2"/>
  <c r="F48" i="2"/>
  <c r="F47" i="2"/>
  <c r="F46" i="2"/>
  <c r="F45" i="2"/>
  <c r="E49" i="2"/>
  <c r="E48" i="2"/>
  <c r="E47" i="2"/>
  <c r="E46" i="2"/>
  <c r="E45" i="2"/>
  <c r="D49" i="2"/>
  <c r="D48" i="2"/>
  <c r="D47" i="2"/>
  <c r="D46" i="2"/>
  <c r="D45" i="2"/>
  <c r="C49" i="2"/>
  <c r="C48" i="2"/>
  <c r="C47" i="2"/>
  <c r="C46" i="2"/>
  <c r="C45" i="2"/>
  <c r="I38" i="2"/>
  <c r="I37" i="2"/>
  <c r="I36" i="2"/>
  <c r="I35" i="2"/>
  <c r="I34" i="2"/>
  <c r="I33" i="2"/>
  <c r="H38" i="2"/>
  <c r="H37" i="2"/>
  <c r="H36" i="2"/>
  <c r="H35" i="2"/>
  <c r="H34" i="2"/>
  <c r="H33" i="2"/>
  <c r="G38" i="2"/>
  <c r="G37" i="2"/>
  <c r="G36" i="2"/>
  <c r="G35" i="2"/>
  <c r="G34" i="2"/>
  <c r="G33" i="2"/>
  <c r="F38" i="2"/>
  <c r="F37" i="2"/>
  <c r="F36" i="2"/>
  <c r="F35" i="2"/>
  <c r="F34" i="2"/>
  <c r="F33" i="2"/>
  <c r="E38" i="2"/>
  <c r="E37" i="2"/>
  <c r="E36" i="2"/>
  <c r="E35" i="2"/>
  <c r="E34" i="2"/>
  <c r="E33" i="2"/>
  <c r="D38" i="2"/>
  <c r="D37" i="2"/>
  <c r="D36" i="2"/>
  <c r="D35" i="2"/>
  <c r="D34" i="2"/>
  <c r="D33" i="2"/>
  <c r="C38" i="2"/>
  <c r="C37" i="2"/>
  <c r="C36" i="2"/>
  <c r="C35" i="2"/>
  <c r="C34" i="2"/>
  <c r="C33" i="2"/>
  <c r="I29" i="2"/>
  <c r="H29" i="2"/>
  <c r="G29" i="2"/>
  <c r="F29" i="2"/>
  <c r="E29" i="2"/>
  <c r="C29" i="2"/>
  <c r="B51" i="4"/>
  <c r="R64" i="4"/>
  <c r="Q64" i="4"/>
  <c r="P64" i="4"/>
  <c r="O64" i="4"/>
  <c r="N64" i="4"/>
  <c r="M64" i="4"/>
  <c r="L64" i="4"/>
  <c r="K64" i="4"/>
  <c r="J64" i="4"/>
  <c r="I64" i="4"/>
  <c r="H64" i="4"/>
  <c r="G64" i="4"/>
  <c r="F64" i="4"/>
  <c r="E64" i="4"/>
  <c r="D64" i="4"/>
  <c r="R63" i="4"/>
  <c r="Q63" i="4"/>
  <c r="P63" i="4"/>
  <c r="O63" i="4"/>
  <c r="N63" i="4"/>
  <c r="M63" i="4"/>
  <c r="L63" i="4"/>
  <c r="K63" i="4"/>
  <c r="J63" i="4"/>
  <c r="I63" i="4"/>
  <c r="H63" i="4"/>
  <c r="G63" i="4"/>
  <c r="F63" i="4"/>
  <c r="E63" i="4"/>
  <c r="D63" i="4"/>
  <c r="R62" i="4"/>
  <c r="Q62" i="4"/>
  <c r="P62" i="4"/>
  <c r="O62" i="4"/>
  <c r="N62" i="4"/>
  <c r="M62" i="4"/>
  <c r="L62" i="4"/>
  <c r="K62" i="4"/>
  <c r="J62" i="4"/>
  <c r="I62" i="4"/>
  <c r="H62" i="4"/>
  <c r="G62" i="4"/>
  <c r="F62" i="4"/>
  <c r="E62" i="4"/>
  <c r="D62" i="4"/>
  <c r="R61" i="4"/>
  <c r="Q61" i="4"/>
  <c r="P61" i="4"/>
  <c r="O61" i="4"/>
  <c r="N61" i="4"/>
  <c r="M61" i="4"/>
  <c r="L61" i="4"/>
  <c r="K61" i="4"/>
  <c r="J61" i="4"/>
  <c r="I61" i="4"/>
  <c r="H61" i="4"/>
  <c r="G61" i="4"/>
  <c r="F61" i="4"/>
  <c r="E61" i="4"/>
  <c r="D61" i="4"/>
  <c r="R60" i="4"/>
  <c r="Q60" i="4"/>
  <c r="P60" i="4"/>
  <c r="O60" i="4"/>
  <c r="N60" i="4"/>
  <c r="M60" i="4"/>
  <c r="L60" i="4"/>
  <c r="K60" i="4"/>
  <c r="J60" i="4"/>
  <c r="I60" i="4"/>
  <c r="H60" i="4"/>
  <c r="G60" i="4"/>
  <c r="F60" i="4"/>
  <c r="E60" i="4"/>
  <c r="D60" i="4"/>
  <c r="R59" i="4"/>
  <c r="Q59" i="4"/>
  <c r="P59" i="4"/>
  <c r="O59" i="4"/>
  <c r="N59" i="4"/>
  <c r="M59" i="4"/>
  <c r="L59" i="4"/>
  <c r="K59" i="4"/>
  <c r="J59" i="4"/>
  <c r="I59" i="4"/>
  <c r="H59" i="4"/>
  <c r="G59" i="4"/>
  <c r="F59" i="4"/>
  <c r="E59" i="4"/>
  <c r="D59" i="4"/>
  <c r="R58" i="4"/>
  <c r="Q58" i="4"/>
  <c r="P58" i="4"/>
  <c r="O58" i="4"/>
  <c r="N58" i="4"/>
  <c r="M58" i="4"/>
  <c r="L58" i="4"/>
  <c r="K58" i="4"/>
  <c r="J58" i="4"/>
  <c r="I58" i="4"/>
  <c r="H58" i="4"/>
  <c r="G58" i="4"/>
  <c r="F58" i="4"/>
  <c r="E58" i="4"/>
  <c r="D58" i="4"/>
  <c r="R57" i="4"/>
  <c r="Q57" i="4"/>
  <c r="P57" i="4"/>
  <c r="O57" i="4"/>
  <c r="N57" i="4"/>
  <c r="M57" i="4"/>
  <c r="L57" i="4"/>
  <c r="K57" i="4"/>
  <c r="J57" i="4"/>
  <c r="I57" i="4"/>
  <c r="H57" i="4"/>
  <c r="G57" i="4"/>
  <c r="F57" i="4"/>
  <c r="E57" i="4"/>
  <c r="D57" i="4"/>
  <c r="R56" i="4"/>
  <c r="Q56" i="4"/>
  <c r="P56" i="4"/>
  <c r="O56" i="4"/>
  <c r="N56" i="4"/>
  <c r="M56" i="4"/>
  <c r="L56" i="4"/>
  <c r="K56" i="4"/>
  <c r="J56" i="4"/>
  <c r="I56" i="4"/>
  <c r="H56" i="4"/>
  <c r="G56" i="4"/>
  <c r="F56" i="4"/>
  <c r="E56" i="4"/>
  <c r="D56" i="4"/>
  <c r="R49" i="4"/>
  <c r="Q49" i="4"/>
  <c r="P49" i="4"/>
  <c r="O49" i="4"/>
  <c r="N49" i="4"/>
  <c r="M49" i="4"/>
  <c r="L49" i="4"/>
  <c r="K49" i="4"/>
  <c r="J49" i="4"/>
  <c r="I49" i="4"/>
  <c r="H49" i="4"/>
  <c r="G49" i="4"/>
  <c r="F49" i="4"/>
  <c r="E49" i="4"/>
  <c r="D49" i="4"/>
  <c r="R48" i="4"/>
  <c r="Q48" i="4"/>
  <c r="P48" i="4"/>
  <c r="O48" i="4"/>
  <c r="N48" i="4"/>
  <c r="M48" i="4"/>
  <c r="L48" i="4"/>
  <c r="K48" i="4"/>
  <c r="J48" i="4"/>
  <c r="I48" i="4"/>
  <c r="H48" i="4"/>
  <c r="G48" i="4"/>
  <c r="F48" i="4"/>
  <c r="E48" i="4"/>
  <c r="D48" i="4"/>
  <c r="R47" i="4"/>
  <c r="Q47" i="4"/>
  <c r="P47" i="4"/>
  <c r="O47" i="4"/>
  <c r="N47" i="4"/>
  <c r="M47" i="4"/>
  <c r="L47" i="4"/>
  <c r="K47" i="4"/>
  <c r="J47" i="4"/>
  <c r="I47" i="4"/>
  <c r="H47" i="4"/>
  <c r="G47" i="4"/>
  <c r="F47" i="4"/>
  <c r="E47" i="4"/>
  <c r="D47" i="4"/>
  <c r="R46" i="4"/>
  <c r="Q46" i="4"/>
  <c r="P46" i="4"/>
  <c r="O46" i="4"/>
  <c r="N46" i="4"/>
  <c r="M46" i="4"/>
  <c r="L46" i="4"/>
  <c r="K46" i="4"/>
  <c r="J46" i="4"/>
  <c r="I46" i="4"/>
  <c r="H46" i="4"/>
  <c r="G46" i="4"/>
  <c r="F46" i="4"/>
  <c r="E46" i="4"/>
  <c r="D46" i="4"/>
  <c r="R45" i="4"/>
  <c r="Q45" i="4"/>
  <c r="P45" i="4"/>
  <c r="O45" i="4"/>
  <c r="N45" i="4"/>
  <c r="M45" i="4"/>
  <c r="L45" i="4"/>
  <c r="K45" i="4"/>
  <c r="J45" i="4"/>
  <c r="I45" i="4"/>
  <c r="H45" i="4"/>
  <c r="G45" i="4"/>
  <c r="F45" i="4"/>
  <c r="E45" i="4"/>
  <c r="D45" i="4"/>
  <c r="R38" i="4"/>
  <c r="Q38" i="4"/>
  <c r="P38" i="4"/>
  <c r="O38" i="4"/>
  <c r="N38" i="4"/>
  <c r="M38" i="4"/>
  <c r="L38" i="4"/>
  <c r="K38" i="4"/>
  <c r="J38" i="4"/>
  <c r="I38" i="4"/>
  <c r="H38" i="4"/>
  <c r="G38" i="4"/>
  <c r="F38" i="4"/>
  <c r="E38" i="4"/>
  <c r="D38" i="4"/>
  <c r="R37" i="4"/>
  <c r="Q37" i="4"/>
  <c r="P37" i="4"/>
  <c r="O37" i="4"/>
  <c r="N37" i="4"/>
  <c r="M37" i="4"/>
  <c r="L37" i="4"/>
  <c r="K37" i="4"/>
  <c r="J37" i="4"/>
  <c r="I37" i="4"/>
  <c r="H37" i="4"/>
  <c r="G37" i="4"/>
  <c r="F37" i="4"/>
  <c r="E37" i="4"/>
  <c r="D37" i="4"/>
  <c r="R36" i="4"/>
  <c r="Q36" i="4"/>
  <c r="P36" i="4"/>
  <c r="O36" i="4"/>
  <c r="N36" i="4"/>
  <c r="M36" i="4"/>
  <c r="L36" i="4"/>
  <c r="K36" i="4"/>
  <c r="J36" i="4"/>
  <c r="I36" i="4"/>
  <c r="H36" i="4"/>
  <c r="G36" i="4"/>
  <c r="F36" i="4"/>
  <c r="E36" i="4"/>
  <c r="D36" i="4"/>
  <c r="R35" i="4"/>
  <c r="Q35" i="4"/>
  <c r="P35" i="4"/>
  <c r="O35" i="4"/>
  <c r="N35" i="4"/>
  <c r="M35" i="4"/>
  <c r="L35" i="4"/>
  <c r="K35" i="4"/>
  <c r="J35" i="4"/>
  <c r="I35" i="4"/>
  <c r="H35" i="4"/>
  <c r="G35" i="4"/>
  <c r="F35" i="4"/>
  <c r="E35" i="4"/>
  <c r="D35" i="4"/>
  <c r="R34" i="4"/>
  <c r="Q34" i="4"/>
  <c r="P34" i="4"/>
  <c r="O34" i="4"/>
  <c r="N34" i="4"/>
  <c r="M34" i="4"/>
  <c r="L34" i="4"/>
  <c r="K34" i="4"/>
  <c r="J34" i="4"/>
  <c r="I34" i="4"/>
  <c r="H34" i="4"/>
  <c r="G34" i="4"/>
  <c r="F34" i="4"/>
  <c r="E34" i="4"/>
  <c r="D34" i="4"/>
  <c r="R33" i="4"/>
  <c r="Q33" i="4"/>
  <c r="P33" i="4"/>
  <c r="O33" i="4"/>
  <c r="N33" i="4"/>
  <c r="M33" i="4"/>
  <c r="L33" i="4"/>
  <c r="K33" i="4"/>
  <c r="J33" i="4"/>
  <c r="I33" i="4"/>
  <c r="H33" i="4"/>
  <c r="G33" i="4"/>
  <c r="F33" i="4"/>
  <c r="E33" i="4"/>
  <c r="D33" i="4"/>
  <c r="R29" i="4"/>
  <c r="Q29" i="4"/>
  <c r="P29" i="4"/>
  <c r="O29" i="4"/>
  <c r="N29" i="4"/>
  <c r="M29" i="4"/>
  <c r="L29" i="4"/>
  <c r="K29" i="4"/>
  <c r="J29" i="4"/>
  <c r="I29" i="4"/>
  <c r="H29" i="4"/>
  <c r="G29" i="4"/>
  <c r="F29" i="4"/>
  <c r="E29" i="4"/>
  <c r="D29" i="4"/>
  <c r="B30" i="4"/>
  <c r="C64" i="4"/>
  <c r="C63" i="4"/>
  <c r="C62" i="4"/>
  <c r="C61" i="4"/>
  <c r="C60" i="4"/>
  <c r="C59" i="4"/>
  <c r="C58" i="4"/>
  <c r="C57" i="4"/>
  <c r="C56" i="4"/>
  <c r="C49" i="4"/>
  <c r="C48" i="4"/>
  <c r="C47" i="4"/>
  <c r="C46" i="4"/>
  <c r="C45" i="4"/>
  <c r="C38" i="4"/>
  <c r="C37" i="4"/>
  <c r="C36" i="4"/>
  <c r="C35" i="4"/>
  <c r="C34" i="4"/>
  <c r="C33" i="4"/>
  <c r="C29" i="4"/>
  <c r="G50" i="4"/>
  <c r="K39" i="4"/>
  <c r="F39" i="4"/>
  <c r="I30" i="4"/>
  <c r="J65" i="2"/>
  <c r="F65" i="2"/>
  <c r="E65" i="2"/>
  <c r="L36" i="18"/>
  <c r="L50" i="2"/>
  <c r="H50" i="2"/>
  <c r="K30" i="2"/>
  <c r="F30" i="2"/>
  <c r="N32" i="18"/>
  <c r="N34" i="18"/>
  <c r="L36" i="1"/>
  <c r="L37" i="1"/>
  <c r="K35" i="18"/>
  <c r="D50" i="2"/>
  <c r="K65" i="2"/>
  <c r="I65" i="2"/>
  <c r="G65" i="2"/>
  <c r="O50" i="4"/>
  <c r="Q39" i="4"/>
  <c r="O39" i="4"/>
  <c r="M39" i="4"/>
  <c r="I50" i="4"/>
  <c r="L39" i="4"/>
  <c r="J39" i="4"/>
  <c r="G39" i="4"/>
  <c r="D39" i="4"/>
  <c r="K30" i="4"/>
  <c r="E30" i="4"/>
  <c r="AA35" i="19"/>
  <c r="J30" i="2"/>
  <c r="G30" i="2"/>
  <c r="E30" i="2"/>
  <c r="L36" i="19"/>
  <c r="L37" i="19"/>
  <c r="AJ35" i="1"/>
  <c r="AK35" i="1"/>
  <c r="L37" i="18"/>
  <c r="D50" i="4"/>
  <c r="H50" i="4"/>
  <c r="L50" i="4"/>
  <c r="P50" i="4"/>
  <c r="F50" i="4"/>
  <c r="J50" i="4"/>
  <c r="N50" i="4"/>
  <c r="R50" i="4"/>
  <c r="F30" i="4"/>
  <c r="J30" i="4"/>
  <c r="N30" i="4"/>
  <c r="R30" i="4"/>
  <c r="D30" i="4"/>
  <c r="H30" i="4"/>
  <c r="L30" i="4"/>
  <c r="P30" i="4"/>
  <c r="I39" i="4"/>
  <c r="K33" i="18"/>
  <c r="D39" i="2"/>
  <c r="H39" i="2"/>
  <c r="L39" i="2"/>
  <c r="E39" i="2"/>
  <c r="I39" i="2"/>
  <c r="F39" i="2"/>
  <c r="J39" i="2"/>
  <c r="G39" i="2"/>
  <c r="N35" i="18"/>
  <c r="M35" i="18"/>
  <c r="N33" i="18"/>
  <c r="J36" i="1"/>
  <c r="E50" i="2"/>
  <c r="I50" i="2"/>
  <c r="F50" i="2"/>
  <c r="J50" i="2"/>
  <c r="L30" i="2"/>
  <c r="H30" i="2"/>
  <c r="K32" i="1"/>
  <c r="K35" i="1"/>
  <c r="K34" i="1"/>
  <c r="N36" i="18"/>
  <c r="M34" i="18"/>
  <c r="J78" i="18"/>
  <c r="I60" i="18"/>
  <c r="I56" i="18"/>
  <c r="I52" i="18"/>
  <c r="I48" i="18"/>
  <c r="I44" i="18"/>
  <c r="K38" i="18"/>
  <c r="I58" i="18"/>
  <c r="I54" i="18"/>
  <c r="I50" i="18"/>
  <c r="I46" i="18"/>
  <c r="I42" i="18"/>
  <c r="J38" i="18"/>
  <c r="I59" i="18"/>
  <c r="I51" i="18"/>
  <c r="I43" i="18"/>
  <c r="N37" i="18"/>
  <c r="I55" i="18"/>
  <c r="I47" i="18"/>
  <c r="I49" i="18"/>
  <c r="I61" i="18"/>
  <c r="I45" i="18"/>
  <c r="L38" i="18"/>
  <c r="M38" i="18"/>
  <c r="I57" i="18"/>
  <c r="I53" i="18"/>
  <c r="L78" i="18"/>
  <c r="H28" i="19"/>
  <c r="J37" i="19"/>
  <c r="N33" i="19"/>
  <c r="M33" i="19"/>
  <c r="H25" i="1"/>
  <c r="H28" i="1"/>
  <c r="J37" i="1"/>
  <c r="K33" i="19"/>
  <c r="K33" i="1"/>
  <c r="K36" i="1"/>
  <c r="K34" i="18"/>
  <c r="K32" i="19"/>
  <c r="M32" i="18"/>
  <c r="K32" i="18"/>
  <c r="K36" i="18"/>
  <c r="M33" i="18"/>
  <c r="N21" i="18"/>
  <c r="K34" i="19"/>
  <c r="K37" i="1"/>
  <c r="K37" i="18"/>
  <c r="K78" i="18"/>
  <c r="H57" i="18"/>
  <c r="H49" i="18"/>
  <c r="H43" i="18"/>
  <c r="H42" i="18"/>
  <c r="J42" i="18"/>
  <c r="I62" i="18"/>
  <c r="H58" i="18"/>
  <c r="H52" i="18"/>
  <c r="Q61" i="18"/>
  <c r="Q60" i="18"/>
  <c r="Q59" i="18"/>
  <c r="Q58" i="18"/>
  <c r="Q57" i="18"/>
  <c r="Q56" i="18"/>
  <c r="S61" i="18"/>
  <c r="S60" i="18"/>
  <c r="S59" i="18"/>
  <c r="S58" i="18"/>
  <c r="S57" i="18"/>
  <c r="S56" i="18"/>
  <c r="S55" i="18"/>
  <c r="R60" i="18"/>
  <c r="R58" i="18"/>
  <c r="R56" i="18"/>
  <c r="P55" i="18"/>
  <c r="P54" i="18"/>
  <c r="P53" i="18"/>
  <c r="S52" i="18"/>
  <c r="S51" i="18"/>
  <c r="S50" i="18"/>
  <c r="S49" i="18"/>
  <c r="S48" i="18"/>
  <c r="S47" i="18"/>
  <c r="S46" i="18"/>
  <c r="S45" i="18"/>
  <c r="S44" i="18"/>
  <c r="S43" i="18"/>
  <c r="P42" i="18"/>
  <c r="R61" i="18"/>
  <c r="R59" i="18"/>
  <c r="R57" i="18"/>
  <c r="R55" i="18"/>
  <c r="R54" i="18"/>
  <c r="R53" i="18"/>
  <c r="Q52" i="18"/>
  <c r="Q51" i="18"/>
  <c r="Q50" i="18"/>
  <c r="Q49" i="18"/>
  <c r="Q48" i="18"/>
  <c r="Q47" i="18"/>
  <c r="Q46" i="18"/>
  <c r="Q45" i="18"/>
  <c r="Q44" i="18"/>
  <c r="Q43" i="18"/>
  <c r="R42" i="18"/>
  <c r="P58" i="18"/>
  <c r="S54" i="18"/>
  <c r="R51" i="18"/>
  <c r="R49" i="18"/>
  <c r="R47" i="18"/>
  <c r="R45" i="18"/>
  <c r="R43" i="18"/>
  <c r="Q42" i="18"/>
  <c r="P60" i="18"/>
  <c r="T60" i="18"/>
  <c r="P56" i="18"/>
  <c r="T56" i="18"/>
  <c r="S53" i="18"/>
  <c r="R52" i="18"/>
  <c r="R50" i="18"/>
  <c r="R48" i="18"/>
  <c r="R46" i="18"/>
  <c r="R44" i="18"/>
  <c r="P57" i="18"/>
  <c r="P50" i="18"/>
  <c r="T50" i="18"/>
  <c r="P46" i="18"/>
  <c r="Q55" i="18"/>
  <c r="P49" i="18"/>
  <c r="P45" i="18"/>
  <c r="T45" i="18"/>
  <c r="S42" i="18"/>
  <c r="P61" i="18"/>
  <c r="T61" i="18"/>
  <c r="Q54" i="18"/>
  <c r="P52" i="18"/>
  <c r="T52" i="18"/>
  <c r="P48" i="18"/>
  <c r="P44" i="18"/>
  <c r="T44" i="18"/>
  <c r="P59" i="18"/>
  <c r="Q53" i="18"/>
  <c r="P51" i="18"/>
  <c r="P47" i="18"/>
  <c r="T47" i="18"/>
  <c r="P43" i="18"/>
  <c r="M36" i="18"/>
  <c r="M37" i="18"/>
  <c r="N35" i="1"/>
  <c r="N33" i="1"/>
  <c r="M33" i="1"/>
  <c r="N32" i="1"/>
  <c r="N34" i="1"/>
  <c r="M34" i="1"/>
  <c r="H47" i="18"/>
  <c r="H51" i="18"/>
  <c r="H46" i="18"/>
  <c r="H56" i="18"/>
  <c r="K36" i="19"/>
  <c r="K37" i="19"/>
  <c r="M35" i="19"/>
  <c r="H45" i="18"/>
  <c r="H55" i="18"/>
  <c r="H59" i="18"/>
  <c r="H50" i="18"/>
  <c r="H44" i="18"/>
  <c r="H60" i="18"/>
  <c r="H53" i="18"/>
  <c r="H61" i="18"/>
  <c r="H54" i="18"/>
  <c r="H48" i="18"/>
  <c r="J79" i="18"/>
  <c r="Q62" i="18"/>
  <c r="R62" i="18"/>
  <c r="T53" i="18"/>
  <c r="M78" i="18"/>
  <c r="M35" i="1"/>
  <c r="T51" i="18"/>
  <c r="T48" i="18"/>
  <c r="S62" i="18"/>
  <c r="T46" i="18"/>
  <c r="P62" i="18"/>
  <c r="T42" i="18"/>
  <c r="T54" i="18"/>
  <c r="H62" i="18"/>
  <c r="T55" i="18"/>
  <c r="N78" i="18"/>
  <c r="N36" i="1"/>
  <c r="N21" i="1"/>
  <c r="M32" i="1"/>
  <c r="M36" i="1"/>
  <c r="M37" i="1"/>
  <c r="T43" i="18"/>
  <c r="T59" i="18"/>
  <c r="T49" i="18"/>
  <c r="T57" i="18"/>
  <c r="T58" i="18"/>
  <c r="Y42" i="18"/>
  <c r="J43" i="18"/>
  <c r="Y43" i="18"/>
  <c r="J80" i="18"/>
  <c r="I42" i="1"/>
  <c r="J78" i="1"/>
  <c r="J42" i="1"/>
  <c r="P42" i="1"/>
  <c r="I61" i="1"/>
  <c r="I43" i="1"/>
  <c r="J79" i="1"/>
  <c r="J43" i="1"/>
  <c r="I44" i="1"/>
  <c r="J80" i="1"/>
  <c r="J44" i="1"/>
  <c r="I45" i="1"/>
  <c r="J81" i="1"/>
  <c r="J45" i="1"/>
  <c r="I46" i="1"/>
  <c r="J82" i="1"/>
  <c r="J46" i="1"/>
  <c r="I47" i="1"/>
  <c r="J83" i="1"/>
  <c r="J47" i="1"/>
  <c r="I48" i="1"/>
  <c r="J84" i="1"/>
  <c r="J48" i="1"/>
  <c r="I49" i="1"/>
  <c r="J85" i="1"/>
  <c r="J49" i="1"/>
  <c r="I50" i="1"/>
  <c r="J86" i="1"/>
  <c r="J50" i="1"/>
  <c r="I51" i="1"/>
  <c r="J87" i="1"/>
  <c r="J51" i="1"/>
  <c r="I52" i="1"/>
  <c r="J88" i="1"/>
  <c r="J52" i="1"/>
  <c r="I53" i="1"/>
  <c r="J89" i="1"/>
  <c r="J53" i="1"/>
  <c r="I54" i="1"/>
  <c r="J90" i="1"/>
  <c r="J54" i="1"/>
  <c r="I55" i="1"/>
  <c r="J91" i="1"/>
  <c r="J55" i="1"/>
  <c r="I56" i="1"/>
  <c r="J92" i="1"/>
  <c r="J56" i="1"/>
  <c r="I57" i="1"/>
  <c r="J93" i="1"/>
  <c r="J57" i="1"/>
  <c r="I58" i="1"/>
  <c r="J94" i="1"/>
  <c r="J58" i="1"/>
  <c r="I59" i="1"/>
  <c r="J95" i="1"/>
  <c r="J59" i="1"/>
  <c r="I60" i="1"/>
  <c r="J96" i="1"/>
  <c r="J60" i="1"/>
  <c r="J97" i="1"/>
  <c r="J61" i="1"/>
  <c r="P61" i="1"/>
  <c r="P60" i="1"/>
  <c r="AH61" i="1"/>
  <c r="K78" i="1"/>
  <c r="AH42" i="1"/>
  <c r="K42" i="1"/>
  <c r="AH43" i="1"/>
  <c r="K79" i="1"/>
  <c r="K43" i="1"/>
  <c r="AH44" i="1"/>
  <c r="K80" i="1"/>
  <c r="K44" i="1"/>
  <c r="AH45" i="1"/>
  <c r="K81" i="1"/>
  <c r="K45" i="1"/>
  <c r="AH46" i="1"/>
  <c r="K82" i="1"/>
  <c r="K46" i="1"/>
  <c r="AH47" i="1"/>
  <c r="K83" i="1"/>
  <c r="K47" i="1"/>
  <c r="AH48" i="1"/>
  <c r="K84" i="1"/>
  <c r="K48" i="1"/>
  <c r="AH49" i="1"/>
  <c r="K85" i="1"/>
  <c r="K49" i="1"/>
  <c r="AH50" i="1"/>
  <c r="K86" i="1"/>
  <c r="K50" i="1"/>
  <c r="AH51" i="1"/>
  <c r="K87" i="1"/>
  <c r="K51" i="1"/>
  <c r="AH52" i="1"/>
  <c r="K88" i="1"/>
  <c r="K52" i="1"/>
  <c r="AH53" i="1"/>
  <c r="K89" i="1"/>
  <c r="K53" i="1"/>
  <c r="AH54" i="1"/>
  <c r="K90" i="1"/>
  <c r="K54" i="1"/>
  <c r="AH55" i="1"/>
  <c r="K91" i="1"/>
  <c r="K55" i="1"/>
  <c r="AH56" i="1"/>
  <c r="K92" i="1"/>
  <c r="K56" i="1"/>
  <c r="AH57" i="1"/>
  <c r="K93" i="1"/>
  <c r="K57" i="1"/>
  <c r="AH58" i="1"/>
  <c r="K94" i="1"/>
  <c r="K58" i="1"/>
  <c r="AH59" i="1"/>
  <c r="K95" i="1"/>
  <c r="K59" i="1"/>
  <c r="AH60" i="1"/>
  <c r="K96" i="1"/>
  <c r="K60" i="1"/>
  <c r="K97" i="1"/>
  <c r="K61" i="1"/>
  <c r="AI61" i="1"/>
  <c r="L78" i="1"/>
  <c r="AI42" i="1"/>
  <c r="L42" i="1"/>
  <c r="AI43" i="1"/>
  <c r="L79" i="1"/>
  <c r="L43" i="1"/>
  <c r="AI44" i="1"/>
  <c r="L80" i="1"/>
  <c r="L44" i="1"/>
  <c r="AI45" i="1"/>
  <c r="L81" i="1"/>
  <c r="L45" i="1"/>
  <c r="AI46" i="1"/>
  <c r="L82" i="1"/>
  <c r="L46" i="1"/>
  <c r="AI47" i="1"/>
  <c r="L83" i="1"/>
  <c r="L47" i="1"/>
  <c r="AI48" i="1"/>
  <c r="L84" i="1"/>
  <c r="L48" i="1"/>
  <c r="AI49" i="1"/>
  <c r="L85" i="1"/>
  <c r="L49" i="1"/>
  <c r="AI50" i="1"/>
  <c r="L86" i="1"/>
  <c r="L50" i="1"/>
  <c r="AI51" i="1"/>
  <c r="L87" i="1"/>
  <c r="L51" i="1"/>
  <c r="AI52" i="1"/>
  <c r="L88" i="1"/>
  <c r="L52" i="1"/>
  <c r="AI53" i="1"/>
  <c r="L89" i="1"/>
  <c r="L53" i="1"/>
  <c r="AI54" i="1"/>
  <c r="L90" i="1"/>
  <c r="L54" i="1"/>
  <c r="AI55" i="1"/>
  <c r="L91" i="1"/>
  <c r="L55" i="1"/>
  <c r="AI56" i="1"/>
  <c r="L92" i="1"/>
  <c r="L56" i="1"/>
  <c r="AI57" i="1"/>
  <c r="L93" i="1"/>
  <c r="L57" i="1"/>
  <c r="AI58" i="1"/>
  <c r="L94" i="1"/>
  <c r="L58" i="1"/>
  <c r="AI59" i="1"/>
  <c r="L95" i="1"/>
  <c r="L59" i="1"/>
  <c r="AI60" i="1"/>
  <c r="L96" i="1"/>
  <c r="L60" i="1"/>
  <c r="L97" i="1"/>
  <c r="L61" i="1"/>
  <c r="R61" i="1"/>
  <c r="R60" i="1"/>
  <c r="S60" i="1"/>
  <c r="Q59" i="1"/>
  <c r="Q58" i="1"/>
  <c r="Q57" i="1"/>
  <c r="Q56" i="1"/>
  <c r="Q55" i="1"/>
  <c r="R53" i="1"/>
  <c r="Q52" i="1"/>
  <c r="Q51" i="1"/>
  <c r="Q50" i="1"/>
  <c r="Q49" i="1"/>
  <c r="Q48" i="1"/>
  <c r="Q47" i="1"/>
  <c r="Q46" i="1"/>
  <c r="Q45" i="1"/>
  <c r="Q44" i="1"/>
  <c r="Q43" i="1"/>
  <c r="AJ42" i="1"/>
  <c r="M78" i="1"/>
  <c r="M42" i="1"/>
  <c r="S42" i="1"/>
  <c r="AJ54" i="1"/>
  <c r="AJ44" i="1"/>
  <c r="AJ43" i="1"/>
  <c r="M79" i="1"/>
  <c r="M43" i="1"/>
  <c r="M80" i="1"/>
  <c r="M44" i="1"/>
  <c r="AJ45" i="1"/>
  <c r="M81" i="1"/>
  <c r="M45" i="1"/>
  <c r="AJ46" i="1"/>
  <c r="M82" i="1"/>
  <c r="M46" i="1"/>
  <c r="AJ47" i="1"/>
  <c r="M83" i="1"/>
  <c r="M47" i="1"/>
  <c r="AJ48" i="1"/>
  <c r="M84" i="1"/>
  <c r="M48" i="1"/>
  <c r="AJ49" i="1"/>
  <c r="M85" i="1"/>
  <c r="M49" i="1"/>
  <c r="AJ50" i="1"/>
  <c r="M86" i="1"/>
  <c r="M50" i="1"/>
  <c r="AJ51" i="1"/>
  <c r="M87" i="1"/>
  <c r="M51" i="1"/>
  <c r="AJ52" i="1"/>
  <c r="M88" i="1"/>
  <c r="M52" i="1"/>
  <c r="AJ53" i="1"/>
  <c r="M89" i="1"/>
  <c r="M53" i="1"/>
  <c r="M90" i="1"/>
  <c r="M54" i="1"/>
  <c r="S54" i="1"/>
  <c r="AJ61" i="1"/>
  <c r="AJ55" i="1"/>
  <c r="M91" i="1"/>
  <c r="M55" i="1"/>
  <c r="AJ56" i="1"/>
  <c r="M92" i="1"/>
  <c r="M56" i="1"/>
  <c r="AJ57" i="1"/>
  <c r="M93" i="1"/>
  <c r="M57" i="1"/>
  <c r="AJ58" i="1"/>
  <c r="M94" i="1"/>
  <c r="M58" i="1"/>
  <c r="AJ59" i="1"/>
  <c r="M95" i="1"/>
  <c r="M59" i="1"/>
  <c r="AJ60" i="1"/>
  <c r="M96" i="1"/>
  <c r="M60" i="1"/>
  <c r="M97" i="1"/>
  <c r="M61" i="1"/>
  <c r="S61" i="1"/>
  <c r="S59" i="1"/>
  <c r="S58" i="1"/>
  <c r="S57" i="1"/>
  <c r="S56" i="1"/>
  <c r="S55" i="1"/>
  <c r="P54" i="1"/>
  <c r="P53" i="1"/>
  <c r="S52" i="1"/>
  <c r="S51" i="1"/>
  <c r="S50" i="1"/>
  <c r="S49" i="1"/>
  <c r="S48" i="1"/>
  <c r="S47" i="1"/>
  <c r="S46" i="1"/>
  <c r="S45" i="1"/>
  <c r="S44" i="1"/>
  <c r="S43" i="1"/>
  <c r="Q42" i="1"/>
  <c r="Q54" i="1"/>
  <c r="Q61" i="1"/>
  <c r="R58" i="1"/>
  <c r="R56" i="1"/>
  <c r="S53" i="1"/>
  <c r="P52" i="1"/>
  <c r="P50" i="1"/>
  <c r="P48" i="1"/>
  <c r="P46" i="1"/>
  <c r="P44" i="1"/>
  <c r="R54" i="1"/>
  <c r="Q60" i="1"/>
  <c r="P58" i="1"/>
  <c r="P56" i="1"/>
  <c r="Q53" i="1"/>
  <c r="R51" i="1"/>
  <c r="R49" i="1"/>
  <c r="R47" i="1"/>
  <c r="R45" i="1"/>
  <c r="R43" i="1"/>
  <c r="R59" i="1"/>
  <c r="R57" i="1"/>
  <c r="R55" i="1"/>
  <c r="P51" i="1"/>
  <c r="T51" i="1"/>
  <c r="P49" i="1"/>
  <c r="T49" i="1"/>
  <c r="P47" i="1"/>
  <c r="P45" i="1"/>
  <c r="T45" i="1"/>
  <c r="P43" i="1"/>
  <c r="T43" i="1"/>
  <c r="R42" i="1"/>
  <c r="P59" i="1"/>
  <c r="P57" i="1"/>
  <c r="T57" i="1"/>
  <c r="P55" i="1"/>
  <c r="T55" i="1"/>
  <c r="R52" i="1"/>
  <c r="R50" i="1"/>
  <c r="R48" i="1"/>
  <c r="R46" i="1"/>
  <c r="R44" i="1"/>
  <c r="K42" i="18"/>
  <c r="N37" i="1"/>
  <c r="K38" i="1"/>
  <c r="J38" i="1"/>
  <c r="L38" i="1"/>
  <c r="M38" i="1"/>
  <c r="T62" i="18"/>
  <c r="T44" i="1"/>
  <c r="T48" i="1"/>
  <c r="T52" i="1"/>
  <c r="T54" i="1"/>
  <c r="T61" i="1"/>
  <c r="H47" i="1"/>
  <c r="H60" i="1"/>
  <c r="H53" i="1"/>
  <c r="H50" i="1"/>
  <c r="H44" i="1"/>
  <c r="Z42" i="18"/>
  <c r="K79" i="18"/>
  <c r="Q62" i="1"/>
  <c r="S62" i="1"/>
  <c r="T60" i="1"/>
  <c r="J44" i="18"/>
  <c r="K43" i="18"/>
  <c r="N78" i="1"/>
  <c r="H56" i="1"/>
  <c r="H49" i="1"/>
  <c r="H57" i="1"/>
  <c r="H51" i="1"/>
  <c r="H48" i="1"/>
  <c r="T50" i="1"/>
  <c r="H45" i="1"/>
  <c r="H61" i="1"/>
  <c r="H55" i="1"/>
  <c r="H42" i="1"/>
  <c r="I62" i="1"/>
  <c r="T59" i="1"/>
  <c r="T47" i="1"/>
  <c r="T56" i="1"/>
  <c r="P62" i="1"/>
  <c r="T42" i="1"/>
  <c r="H54" i="1"/>
  <c r="H58" i="1"/>
  <c r="H52" i="1"/>
  <c r="H46" i="1"/>
  <c r="H59" i="1"/>
  <c r="R62" i="1"/>
  <c r="T58" i="1"/>
  <c r="T46" i="1"/>
  <c r="T53" i="1"/>
  <c r="Z43" i="18"/>
  <c r="K80" i="18"/>
  <c r="Y44" i="18"/>
  <c r="J81" i="18"/>
  <c r="L42" i="18"/>
  <c r="T62" i="1"/>
  <c r="H62" i="1"/>
  <c r="J45" i="18"/>
  <c r="K44" i="18"/>
  <c r="L79" i="18"/>
  <c r="L43" i="18"/>
  <c r="L80" i="18"/>
  <c r="AA42" i="18"/>
  <c r="Y45" i="18"/>
  <c r="J82" i="18"/>
  <c r="AA43" i="18"/>
  <c r="M42" i="18"/>
  <c r="K81" i="18"/>
  <c r="Z44" i="18"/>
  <c r="L44" i="18"/>
  <c r="J46" i="18"/>
  <c r="K45" i="18"/>
  <c r="M79" i="18"/>
  <c r="N79" i="18"/>
  <c r="AB42" i="18"/>
  <c r="N42" i="18"/>
  <c r="M43" i="18"/>
  <c r="M80" i="18"/>
  <c r="N80" i="18"/>
  <c r="Z45" i="18"/>
  <c r="K82" i="18"/>
  <c r="AB43" i="18"/>
  <c r="N43" i="18"/>
  <c r="Y46" i="18"/>
  <c r="J83" i="18"/>
  <c r="L81" i="18"/>
  <c r="AA44" i="18"/>
  <c r="L45" i="18"/>
  <c r="K46" i="18"/>
  <c r="J47" i="18"/>
  <c r="M44" i="18"/>
  <c r="Y47" i="18"/>
  <c r="J84" i="18"/>
  <c r="AA45" i="18"/>
  <c r="L82" i="18"/>
  <c r="N79" i="1"/>
  <c r="AK42" i="1"/>
  <c r="N42" i="1"/>
  <c r="M81" i="18"/>
  <c r="N81" i="18"/>
  <c r="AB44" i="18"/>
  <c r="N44" i="18"/>
  <c r="K83" i="18"/>
  <c r="Z46" i="18"/>
  <c r="K47" i="18"/>
  <c r="M45" i="18"/>
  <c r="J48" i="18"/>
  <c r="L46" i="18"/>
  <c r="L83" i="18"/>
  <c r="AA46" i="18"/>
  <c r="N45" i="18"/>
  <c r="AB45" i="18"/>
  <c r="M82" i="18"/>
  <c r="N82" i="18"/>
  <c r="Y48" i="18"/>
  <c r="J85" i="18"/>
  <c r="AK43" i="1"/>
  <c r="N80" i="1"/>
  <c r="N43" i="1"/>
  <c r="Z47" i="18"/>
  <c r="K84" i="18"/>
  <c r="K48" i="18"/>
  <c r="K85" i="18"/>
  <c r="Z48" i="18"/>
  <c r="J49" i="18"/>
  <c r="M46" i="18"/>
  <c r="L47" i="18"/>
  <c r="N46" i="18"/>
  <c r="M83" i="18"/>
  <c r="N83" i="18"/>
  <c r="AB46" i="18"/>
  <c r="L84" i="18"/>
  <c r="AA47" i="18"/>
  <c r="Y49" i="18"/>
  <c r="K49" i="18"/>
  <c r="J86" i="18"/>
  <c r="N81" i="1"/>
  <c r="N44" i="1"/>
  <c r="AK44" i="1"/>
  <c r="K86" i="18"/>
  <c r="J50" i="18"/>
  <c r="M47" i="18"/>
  <c r="Z49" i="18"/>
  <c r="L48" i="18"/>
  <c r="Y50" i="18"/>
  <c r="K50" i="18"/>
  <c r="Z50" i="18"/>
  <c r="J87" i="18"/>
  <c r="AA48" i="18"/>
  <c r="L85" i="18"/>
  <c r="L49" i="18"/>
  <c r="L86" i="18"/>
  <c r="AK45" i="1"/>
  <c r="N45" i="1"/>
  <c r="N82" i="1"/>
  <c r="AB47" i="18"/>
  <c r="M84" i="18"/>
  <c r="N84" i="18"/>
  <c r="N47" i="18"/>
  <c r="L50" i="18"/>
  <c r="M48" i="18"/>
  <c r="J51" i="18"/>
  <c r="AA49" i="18"/>
  <c r="K87" i="18"/>
  <c r="AB48" i="18"/>
  <c r="M85" i="18"/>
  <c r="N85" i="18"/>
  <c r="N48" i="18"/>
  <c r="M49" i="18"/>
  <c r="AA50" i="18"/>
  <c r="L87" i="18"/>
  <c r="Y51" i="18"/>
  <c r="K51" i="18"/>
  <c r="Z51" i="18"/>
  <c r="L51" i="18"/>
  <c r="J88" i="18"/>
  <c r="N46" i="1"/>
  <c r="AK46" i="1"/>
  <c r="N83" i="1"/>
  <c r="L88" i="18"/>
  <c r="J52" i="18"/>
  <c r="AB49" i="18"/>
  <c r="N49" i="18"/>
  <c r="K88" i="18"/>
  <c r="AA51" i="18"/>
  <c r="M86" i="18"/>
  <c r="N86" i="18"/>
  <c r="M50" i="18"/>
  <c r="AK47" i="1"/>
  <c r="N47" i="1"/>
  <c r="N84" i="1"/>
  <c r="Y52" i="18"/>
  <c r="K52" i="18"/>
  <c r="J89" i="18"/>
  <c r="N50" i="18"/>
  <c r="AB50" i="18"/>
  <c r="M87" i="18"/>
  <c r="J53" i="18"/>
  <c r="Z52" i="18"/>
  <c r="L52" i="18"/>
  <c r="K89" i="18"/>
  <c r="AK48" i="1"/>
  <c r="N48" i="1"/>
  <c r="N85" i="1"/>
  <c r="L89" i="18"/>
  <c r="AA52" i="18"/>
  <c r="N87" i="18"/>
  <c r="M51" i="18"/>
  <c r="Y53" i="18"/>
  <c r="K53" i="18"/>
  <c r="J90" i="18"/>
  <c r="K90" i="18"/>
  <c r="AB51" i="18"/>
  <c r="N51" i="18"/>
  <c r="M88" i="18"/>
  <c r="N88" i="18"/>
  <c r="J54" i="18"/>
  <c r="Z53" i="18"/>
  <c r="L53" i="18"/>
  <c r="M52" i="18"/>
  <c r="M89" i="18"/>
  <c r="N89" i="18"/>
  <c r="AK49" i="1"/>
  <c r="N49" i="1"/>
  <c r="Y54" i="18"/>
  <c r="K54" i="18"/>
  <c r="J91" i="18"/>
  <c r="N52" i="18"/>
  <c r="AB52" i="18"/>
  <c r="AA53" i="18"/>
  <c r="M53" i="18"/>
  <c r="M90" i="18"/>
  <c r="L90" i="18"/>
  <c r="N90" i="18"/>
  <c r="N53" i="18"/>
  <c r="Z54" i="18"/>
  <c r="L54" i="18"/>
  <c r="AB53" i="18"/>
  <c r="K91" i="18"/>
  <c r="J55" i="18"/>
  <c r="AA54" i="18"/>
  <c r="M54" i="18"/>
  <c r="N86" i="1"/>
  <c r="M91" i="18"/>
  <c r="AK50" i="1"/>
  <c r="N50" i="1"/>
  <c r="Y55" i="18"/>
  <c r="K55" i="18"/>
  <c r="J92" i="18"/>
  <c r="AB54" i="18"/>
  <c r="L91" i="18"/>
  <c r="N54" i="18"/>
  <c r="Z55" i="18"/>
  <c r="L55" i="18"/>
  <c r="L92" i="18"/>
  <c r="J56" i="18"/>
  <c r="N87" i="1"/>
  <c r="N91" i="18"/>
  <c r="K92" i="18"/>
  <c r="AA55" i="18"/>
  <c r="M55" i="18"/>
  <c r="N51" i="1"/>
  <c r="AK51" i="1"/>
  <c r="N88" i="1"/>
  <c r="N89" i="1"/>
  <c r="Y56" i="18"/>
  <c r="K56" i="18"/>
  <c r="J93" i="18"/>
  <c r="AB55" i="18"/>
  <c r="N55" i="18"/>
  <c r="M92" i="18"/>
  <c r="N92" i="18"/>
  <c r="AK53" i="1"/>
  <c r="K93" i="18"/>
  <c r="N53" i="1"/>
  <c r="J57" i="18"/>
  <c r="Z56" i="18"/>
  <c r="L56" i="18"/>
  <c r="AA56" i="18"/>
  <c r="M56" i="18"/>
  <c r="N52" i="1"/>
  <c r="AK52" i="1"/>
  <c r="N90" i="1"/>
  <c r="AB56" i="18"/>
  <c r="M93" i="18"/>
  <c r="N56" i="18"/>
  <c r="Y57" i="18"/>
  <c r="K57" i="18"/>
  <c r="Z57" i="18"/>
  <c r="J94" i="18"/>
  <c r="AK54" i="1"/>
  <c r="L93" i="18"/>
  <c r="N93" i="18"/>
  <c r="J58" i="18"/>
  <c r="N91" i="1"/>
  <c r="K94" i="18"/>
  <c r="N54" i="1"/>
  <c r="L57" i="18"/>
  <c r="Y58" i="18"/>
  <c r="K58" i="18"/>
  <c r="J95" i="18"/>
  <c r="AA57" i="18"/>
  <c r="M57" i="18"/>
  <c r="L94" i="18"/>
  <c r="AB57" i="18"/>
  <c r="N57" i="18"/>
  <c r="J59" i="18"/>
  <c r="K95" i="18"/>
  <c r="M94" i="18"/>
  <c r="N94" i="18"/>
  <c r="Z58" i="18"/>
  <c r="L58" i="18"/>
  <c r="L95" i="18"/>
  <c r="N92" i="1"/>
  <c r="AK55" i="1"/>
  <c r="Y59" i="18"/>
  <c r="K59" i="18"/>
  <c r="J96" i="18"/>
  <c r="N55" i="1"/>
  <c r="AA58" i="18"/>
  <c r="M58" i="18"/>
  <c r="AK56" i="1"/>
  <c r="N58" i="18"/>
  <c r="M95" i="18"/>
  <c r="N95" i="18"/>
  <c r="J60" i="18"/>
  <c r="K96" i="18"/>
  <c r="N93" i="1"/>
  <c r="AB58" i="18"/>
  <c r="Z59" i="18"/>
  <c r="L59" i="18"/>
  <c r="N56" i="1"/>
  <c r="Y60" i="18"/>
  <c r="K60" i="18"/>
  <c r="J97" i="18"/>
  <c r="L96" i="18"/>
  <c r="AA59" i="18"/>
  <c r="M59" i="18"/>
  <c r="AB59" i="18"/>
  <c r="M96" i="18"/>
  <c r="N96" i="18"/>
  <c r="N59" i="18"/>
  <c r="J61" i="18"/>
  <c r="K97" i="18"/>
  <c r="Z60" i="18"/>
  <c r="L60" i="18"/>
  <c r="AK57" i="1"/>
  <c r="N57" i="1"/>
  <c r="N94" i="1"/>
  <c r="L97" i="18"/>
  <c r="AA60" i="18"/>
  <c r="M60" i="18"/>
  <c r="Y61" i="18"/>
  <c r="J62" i="18"/>
  <c r="Y30" i="18" a="1"/>
  <c r="Y30" i="18"/>
  <c r="J98" i="18"/>
  <c r="K61" i="18"/>
  <c r="Y62" i="18"/>
  <c r="AB60" i="18"/>
  <c r="M97" i="18"/>
  <c r="N97" i="18"/>
  <c r="N60" i="18"/>
  <c r="Z30" i="18"/>
  <c r="J62" i="1"/>
  <c r="J98" i="1"/>
  <c r="AH30" i="1" a="1"/>
  <c r="AH30" i="1"/>
  <c r="AK58" i="1"/>
  <c r="N95" i="1"/>
  <c r="N58" i="1"/>
  <c r="K62" i="18"/>
  <c r="Y31" i="18" a="1"/>
  <c r="Y31" i="18"/>
  <c r="K98" i="18"/>
  <c r="Z61" i="18"/>
  <c r="L61" i="18"/>
  <c r="Z62" i="18"/>
  <c r="N96" i="1"/>
  <c r="AK59" i="1"/>
  <c r="AH62" i="1"/>
  <c r="N59" i="1"/>
  <c r="Z31" i="18"/>
  <c r="AI30" i="1"/>
  <c r="L62" i="18"/>
  <c r="L98" i="18"/>
  <c r="Y33" i="18" a="1"/>
  <c r="Y33" i="18"/>
  <c r="AA61" i="18"/>
  <c r="Z33" i="18"/>
  <c r="M61" i="18"/>
  <c r="AA62" i="18"/>
  <c r="K62" i="1"/>
  <c r="K98" i="1"/>
  <c r="AH31" i="1" a="1"/>
  <c r="AH31" i="1"/>
  <c r="M62" i="18"/>
  <c r="Y34" i="18" a="1"/>
  <c r="Y34" i="18"/>
  <c r="M98" i="18"/>
  <c r="N98" i="18"/>
  <c r="AB61" i="18"/>
  <c r="AB62" i="18"/>
  <c r="N61" i="18"/>
  <c r="N62" i="18"/>
  <c r="N97" i="1"/>
  <c r="N60" i="1"/>
  <c r="AK60" i="1"/>
  <c r="AI31" i="1"/>
  <c r="AI62" i="1"/>
  <c r="Z34" i="18"/>
  <c r="Z35" i="18"/>
  <c r="AB7" i="18"/>
  <c r="Y35" i="18"/>
  <c r="L62" i="1"/>
  <c r="L98" i="1"/>
  <c r="AH33" i="1" a="1"/>
  <c r="AH33" i="1"/>
  <c r="AJ62" i="1"/>
  <c r="AI33" i="1"/>
  <c r="M62" i="1"/>
  <c r="AH34" i="1" a="1"/>
  <c r="AH34" i="1"/>
  <c r="M98" i="1"/>
  <c r="N98" i="1"/>
  <c r="N61" i="1"/>
  <c r="N62" i="1"/>
  <c r="AK61" i="1"/>
  <c r="AK62" i="1"/>
  <c r="AI34" i="1"/>
  <c r="AI35" i="1"/>
  <c r="AK7" i="1"/>
  <c r="AH35" i="1"/>
  <c r="N32" i="19"/>
  <c r="N34" i="19"/>
  <c r="M34" i="19"/>
  <c r="N36" i="19"/>
  <c r="M32" i="19"/>
  <c r="M36" i="19"/>
  <c r="M37" i="19"/>
  <c r="N21" i="19"/>
  <c r="P60" i="19"/>
  <c r="P58" i="19"/>
  <c r="P56" i="19"/>
  <c r="P54" i="19"/>
  <c r="S52" i="19"/>
  <c r="S50" i="19"/>
  <c r="S48" i="19"/>
  <c r="S46" i="19"/>
  <c r="S44" i="19"/>
  <c r="S42" i="19"/>
  <c r="S60" i="19"/>
  <c r="S58" i="19"/>
  <c r="S56" i="19"/>
  <c r="S54" i="19"/>
  <c r="R52" i="19"/>
  <c r="R50" i="19"/>
  <c r="R48" i="19"/>
  <c r="R46" i="19"/>
  <c r="R44" i="19"/>
  <c r="R42" i="19"/>
  <c r="Q59" i="19"/>
  <c r="Q55" i="19"/>
  <c r="Q51" i="19"/>
  <c r="Q47" i="19"/>
  <c r="Q43" i="19"/>
  <c r="Q58" i="19"/>
  <c r="Q54" i="19"/>
  <c r="Q50" i="19"/>
  <c r="Q46" i="19"/>
  <c r="Q42" i="19"/>
  <c r="R56" i="19"/>
  <c r="P46" i="19"/>
  <c r="R58" i="19"/>
  <c r="P52" i="19"/>
  <c r="P44" i="19"/>
  <c r="R57" i="19"/>
  <c r="R53" i="19"/>
  <c r="P43" i="19"/>
  <c r="P45" i="19"/>
  <c r="R55" i="19"/>
  <c r="P61" i="19"/>
  <c r="P59" i="19"/>
  <c r="P57" i="19"/>
  <c r="P55" i="19"/>
  <c r="P53" i="19"/>
  <c r="S51" i="19"/>
  <c r="S49" i="19"/>
  <c r="S47" i="19"/>
  <c r="S45" i="19"/>
  <c r="S43" i="19"/>
  <c r="S61" i="19"/>
  <c r="S59" i="19"/>
  <c r="S57" i="19"/>
  <c r="S55" i="19"/>
  <c r="S53" i="19"/>
  <c r="R51" i="19"/>
  <c r="R49" i="19"/>
  <c r="R47" i="19"/>
  <c r="R45" i="19"/>
  <c r="R43" i="19"/>
  <c r="Q61" i="19"/>
  <c r="Q57" i="19"/>
  <c r="Q53" i="19"/>
  <c r="Q49" i="19"/>
  <c r="Q45" i="19"/>
  <c r="Q60" i="19"/>
  <c r="Q56" i="19"/>
  <c r="Q52" i="19"/>
  <c r="Q48" i="19"/>
  <c r="Q44" i="19"/>
  <c r="R60" i="19"/>
  <c r="P50" i="19"/>
  <c r="T50" i="19"/>
  <c r="P42" i="19"/>
  <c r="R54" i="19"/>
  <c r="P48" i="19"/>
  <c r="T48" i="19"/>
  <c r="P47" i="19"/>
  <c r="T47" i="19"/>
  <c r="R61" i="19"/>
  <c r="P51" i="19"/>
  <c r="T51" i="19"/>
  <c r="R59" i="19"/>
  <c r="P49" i="19"/>
  <c r="T49" i="19"/>
  <c r="L38" i="19"/>
  <c r="I59" i="19"/>
  <c r="I55" i="19"/>
  <c r="I51" i="19"/>
  <c r="I47" i="19"/>
  <c r="I43" i="19"/>
  <c r="I56" i="19"/>
  <c r="I60" i="19"/>
  <c r="I44" i="19"/>
  <c r="N37" i="19"/>
  <c r="I42" i="19"/>
  <c r="I54" i="19"/>
  <c r="L78" i="19"/>
  <c r="K78" i="19"/>
  <c r="I61" i="19"/>
  <c r="I57" i="19"/>
  <c r="I53" i="19"/>
  <c r="I49" i="19"/>
  <c r="I45" i="19"/>
  <c r="K38" i="19"/>
  <c r="I48" i="19"/>
  <c r="I52" i="19"/>
  <c r="I50" i="19"/>
  <c r="I58" i="19"/>
  <c r="J38" i="19"/>
  <c r="I46" i="19"/>
  <c r="J78" i="19"/>
  <c r="M78" i="19"/>
  <c r="N78" i="19"/>
  <c r="H50" i="19"/>
  <c r="H48" i="19"/>
  <c r="H45" i="19"/>
  <c r="H53" i="19"/>
  <c r="H61" i="19"/>
  <c r="H42" i="19"/>
  <c r="J42" i="19"/>
  <c r="Y42" i="19"/>
  <c r="I62" i="19"/>
  <c r="H44" i="19"/>
  <c r="H56" i="19"/>
  <c r="H47" i="19"/>
  <c r="H55" i="19"/>
  <c r="T42" i="19"/>
  <c r="P62" i="19"/>
  <c r="M38" i="19"/>
  <c r="T53" i="19"/>
  <c r="T57" i="19"/>
  <c r="T61" i="19"/>
  <c r="T45" i="19"/>
  <c r="T44" i="19"/>
  <c r="T56" i="19"/>
  <c r="T60" i="19"/>
  <c r="H46" i="19"/>
  <c r="H58" i="19"/>
  <c r="H52" i="19"/>
  <c r="H49" i="19"/>
  <c r="H57" i="19"/>
  <c r="H54" i="19"/>
  <c r="H60" i="19"/>
  <c r="H43" i="19"/>
  <c r="H51" i="19"/>
  <c r="H59" i="19"/>
  <c r="T55" i="19"/>
  <c r="T59" i="19"/>
  <c r="T43" i="19"/>
  <c r="T52" i="19"/>
  <c r="T46" i="19"/>
  <c r="Q62" i="19"/>
  <c r="R62" i="19"/>
  <c r="S62" i="19"/>
  <c r="T54" i="19"/>
  <c r="T58" i="19"/>
  <c r="K42" i="19"/>
  <c r="H62" i="19"/>
  <c r="J79" i="19"/>
  <c r="T62" i="19"/>
  <c r="J43" i="19"/>
  <c r="K79" i="19"/>
  <c r="Z42" i="19"/>
  <c r="L42" i="19"/>
  <c r="Y43" i="19"/>
  <c r="J80" i="19"/>
  <c r="J44" i="19"/>
  <c r="K43" i="19"/>
  <c r="L79" i="19"/>
  <c r="AA42" i="19"/>
  <c r="K80" i="19"/>
  <c r="Z43" i="19"/>
  <c r="M42" i="19"/>
  <c r="Y44" i="19"/>
  <c r="J81" i="19"/>
  <c r="K44" i="19"/>
  <c r="L43" i="19"/>
  <c r="J45" i="19"/>
  <c r="M79" i="19"/>
  <c r="N79" i="19"/>
  <c r="AB42" i="19"/>
  <c r="N42" i="19"/>
  <c r="Y45" i="19"/>
  <c r="J82" i="19"/>
  <c r="L80" i="19"/>
  <c r="AA43" i="19"/>
  <c r="Z44" i="19"/>
  <c r="K81" i="19"/>
  <c r="L44" i="19"/>
  <c r="M43" i="19"/>
  <c r="J46" i="19"/>
  <c r="K45" i="19"/>
  <c r="M80" i="19"/>
  <c r="N80" i="19"/>
  <c r="N43" i="19"/>
  <c r="AB43" i="19"/>
  <c r="L81" i="19"/>
  <c r="AA44" i="19"/>
  <c r="K82" i="19"/>
  <c r="Z45" i="19"/>
  <c r="Y46" i="19"/>
  <c r="J83" i="19"/>
  <c r="J47" i="19"/>
  <c r="K46" i="19"/>
  <c r="L45" i="19"/>
  <c r="M44" i="19"/>
  <c r="K83" i="19"/>
  <c r="Z46" i="19"/>
  <c r="M81" i="19"/>
  <c r="N81" i="19"/>
  <c r="AB44" i="19"/>
  <c r="N44" i="19"/>
  <c r="L82" i="19"/>
  <c r="AA45" i="19"/>
  <c r="Y47" i="19"/>
  <c r="J84" i="19"/>
  <c r="K47" i="19"/>
  <c r="Z47" i="19"/>
  <c r="J48" i="19"/>
  <c r="M45" i="19"/>
  <c r="L46" i="19"/>
  <c r="K84" i="19"/>
  <c r="Y48" i="19"/>
  <c r="J85" i="19"/>
  <c r="AA46" i="19"/>
  <c r="L83" i="19"/>
  <c r="L47" i="19"/>
  <c r="N45" i="19"/>
  <c r="AB45" i="19"/>
  <c r="M82" i="19"/>
  <c r="N82" i="19"/>
  <c r="K48" i="19"/>
  <c r="K85" i="19"/>
  <c r="L84" i="19"/>
  <c r="AA47" i="19"/>
  <c r="M46" i="19"/>
  <c r="J49" i="19"/>
  <c r="Z48" i="19"/>
  <c r="L48" i="19"/>
  <c r="AA48" i="19"/>
  <c r="AB46" i="19"/>
  <c r="M83" i="19"/>
  <c r="N83" i="19"/>
  <c r="N46" i="19"/>
  <c r="M47" i="19"/>
  <c r="Y49" i="19"/>
  <c r="K49" i="19"/>
  <c r="Z49" i="19"/>
  <c r="J86" i="19"/>
  <c r="L85" i="19"/>
  <c r="L49" i="19"/>
  <c r="AA49" i="19"/>
  <c r="AB47" i="19"/>
  <c r="N47" i="19"/>
  <c r="J50" i="19"/>
  <c r="K86" i="19"/>
  <c r="L86" i="19"/>
  <c r="M84" i="19"/>
  <c r="M48" i="19"/>
  <c r="N84" i="19"/>
  <c r="Y50" i="19"/>
  <c r="K50" i="19"/>
  <c r="J87" i="19"/>
  <c r="J51" i="19"/>
  <c r="K87" i="19"/>
  <c r="N48" i="19"/>
  <c r="AB48" i="19"/>
  <c r="M85" i="19"/>
  <c r="Z50" i="19"/>
  <c r="L50" i="19"/>
  <c r="L87" i="19"/>
  <c r="AA50" i="19"/>
  <c r="Y51" i="19"/>
  <c r="K51" i="19"/>
  <c r="Z51" i="19"/>
  <c r="L51" i="19"/>
  <c r="J88" i="19"/>
  <c r="N85" i="19"/>
  <c r="M49" i="19"/>
  <c r="AA51" i="19"/>
  <c r="AB49" i="19"/>
  <c r="N49" i="19"/>
  <c r="M86" i="19"/>
  <c r="N86" i="19"/>
  <c r="J52" i="19"/>
  <c r="K88" i="19"/>
  <c r="M50" i="19"/>
  <c r="L88" i="19"/>
  <c r="Y52" i="19"/>
  <c r="K52" i="19"/>
  <c r="J89" i="19"/>
  <c r="M87" i="19"/>
  <c r="AB50" i="19"/>
  <c r="N50" i="19"/>
  <c r="M51" i="19"/>
  <c r="N87" i="19"/>
  <c r="K89" i="19"/>
  <c r="J53" i="19"/>
  <c r="Z52" i="19"/>
  <c r="L52" i="19"/>
  <c r="L89" i="19"/>
  <c r="AA52" i="19"/>
  <c r="N51" i="19"/>
  <c r="AB51" i="19"/>
  <c r="M88" i="19"/>
  <c r="N88" i="19"/>
  <c r="Y53" i="19"/>
  <c r="K53" i="19"/>
  <c r="J90" i="19"/>
  <c r="M52" i="19"/>
  <c r="J54" i="19"/>
  <c r="K90" i="19"/>
  <c r="Z53" i="19"/>
  <c r="L53" i="19"/>
  <c r="Y54" i="19"/>
  <c r="K54" i="19"/>
  <c r="J91" i="19"/>
  <c r="AB52" i="19"/>
  <c r="M89" i="19"/>
  <c r="N89" i="19"/>
  <c r="N52" i="19"/>
  <c r="L90" i="19"/>
  <c r="AA53" i="19"/>
  <c r="M53" i="19"/>
  <c r="K91" i="19"/>
  <c r="Z54" i="19"/>
  <c r="L54" i="19"/>
  <c r="J55" i="19"/>
  <c r="N53" i="19"/>
  <c r="AB53" i="19"/>
  <c r="M90" i="19"/>
  <c r="N90" i="19"/>
  <c r="L91" i="19"/>
  <c r="Y55" i="19"/>
  <c r="K55" i="19"/>
  <c r="J92" i="19"/>
  <c r="AA54" i="19"/>
  <c r="M54" i="19"/>
  <c r="AB54" i="19"/>
  <c r="M91" i="19"/>
  <c r="N91" i="19"/>
  <c r="K92" i="19"/>
  <c r="Z55" i="19"/>
  <c r="L55" i="19"/>
  <c r="J56" i="19"/>
  <c r="N54" i="19"/>
  <c r="AA55" i="19"/>
  <c r="M55" i="19"/>
  <c r="N55" i="19"/>
  <c r="Y56" i="19"/>
  <c r="K56" i="19"/>
  <c r="Z56" i="19"/>
  <c r="J93" i="19"/>
  <c r="L92" i="19"/>
  <c r="AB55" i="19"/>
  <c r="M92" i="19"/>
  <c r="N92" i="19"/>
  <c r="J57" i="19"/>
  <c r="K93" i="19"/>
  <c r="L56" i="19"/>
  <c r="AA56" i="19"/>
  <c r="M56" i="19"/>
  <c r="M93" i="19"/>
  <c r="L93" i="19"/>
  <c r="Y57" i="19"/>
  <c r="K57" i="19"/>
  <c r="Z57" i="19"/>
  <c r="L57" i="19"/>
  <c r="L94" i="19"/>
  <c r="J94" i="19"/>
  <c r="AB56" i="19"/>
  <c r="N56" i="19"/>
  <c r="N93" i="19"/>
  <c r="J58" i="19"/>
  <c r="K94" i="19"/>
  <c r="AA57" i="19"/>
  <c r="M57" i="19"/>
  <c r="AB57" i="19"/>
  <c r="N57" i="19"/>
  <c r="Y58" i="19"/>
  <c r="K58" i="19"/>
  <c r="J95" i="19"/>
  <c r="M94" i="19"/>
  <c r="N94" i="19"/>
  <c r="J59" i="19"/>
  <c r="K95" i="19"/>
  <c r="Z58" i="19"/>
  <c r="L58" i="19"/>
  <c r="AA58" i="19"/>
  <c r="M58" i="19"/>
  <c r="M95" i="19"/>
  <c r="L95" i="19"/>
  <c r="Y59" i="19"/>
  <c r="K59" i="19"/>
  <c r="J96" i="19"/>
  <c r="N58" i="19"/>
  <c r="AB58" i="19"/>
  <c r="N95" i="19"/>
  <c r="K96" i="19"/>
  <c r="J60" i="19"/>
  <c r="Z59" i="19"/>
  <c r="L59" i="19"/>
  <c r="AA59" i="19"/>
  <c r="M59" i="19"/>
  <c r="M96" i="19"/>
  <c r="N59" i="19"/>
  <c r="AB59" i="19"/>
  <c r="L96" i="19"/>
  <c r="Y60" i="19"/>
  <c r="K60" i="19"/>
  <c r="J97" i="19"/>
  <c r="Z60" i="19"/>
  <c r="L60" i="19"/>
  <c r="AA60" i="19"/>
  <c r="M60" i="19"/>
  <c r="M97" i="19"/>
  <c r="AB60" i="19"/>
  <c r="N96" i="19"/>
  <c r="N60" i="19"/>
  <c r="J61" i="19"/>
  <c r="K97" i="19"/>
  <c r="L97" i="19"/>
  <c r="N97" i="19"/>
  <c r="Y61" i="19"/>
  <c r="Y30" i="19" a="1"/>
  <c r="Y30" i="19"/>
  <c r="J62" i="19"/>
  <c r="J98" i="19"/>
  <c r="Z30" i="19"/>
  <c r="K61" i="19"/>
  <c r="Y62" i="19"/>
  <c r="Y31" i="19" a="1"/>
  <c r="Y31" i="19"/>
  <c r="K62" i="19"/>
  <c r="K98" i="19"/>
  <c r="Z61" i="19"/>
  <c r="Z31" i="19"/>
  <c r="L61" i="19"/>
  <c r="Z62" i="19"/>
  <c r="Y33" i="19" a="1"/>
  <c r="Y33" i="19"/>
  <c r="L62" i="19"/>
  <c r="L98" i="19"/>
  <c r="AA61" i="19"/>
  <c r="M61" i="19"/>
  <c r="AA62" i="19"/>
  <c r="Z33" i="19"/>
  <c r="M62" i="19"/>
  <c r="Y34" i="19" a="1"/>
  <c r="Y34" i="19"/>
  <c r="M98" i="19"/>
  <c r="N98" i="19"/>
  <c r="AB61" i="19"/>
  <c r="AB62" i="19"/>
  <c r="N61" i="19"/>
  <c r="N62" i="19"/>
  <c r="Z34" i="19"/>
  <c r="Z35" i="19"/>
  <c r="AB7" i="19"/>
  <c r="Y35" i="19"/>
</calcChain>
</file>

<file path=xl/comments1.xml><?xml version="1.0" encoding="utf-8"?>
<comments xmlns="http://schemas.openxmlformats.org/spreadsheetml/2006/main">
  <authors>
    <author>Sally A. Mead</author>
    <author>Nancy Jane Walters</author>
    <author>DK</author>
  </authors>
  <commentList>
    <comment ref="B24" authorId="0">
      <text>
        <r>
          <rPr>
            <b/>
            <sz val="8"/>
            <color indexed="81"/>
            <rFont val="Tahoma"/>
            <family val="2"/>
          </rPr>
          <t>Fill in only one of these two boxes.</t>
        </r>
      </text>
    </comment>
    <comment ref="H25" authorId="1">
      <text>
        <r>
          <rPr>
            <b/>
            <sz val="8"/>
            <color indexed="81"/>
            <rFont val="Tahoma"/>
            <family val="2"/>
          </rPr>
          <t xml:space="preserve">The X factor is derived if not entered in cell D18
</t>
        </r>
        <r>
          <rPr>
            <sz val="8"/>
            <color indexed="81"/>
            <rFont val="Tahoma"/>
            <family val="2"/>
          </rPr>
          <t xml:space="preserve">
</t>
        </r>
      </text>
    </comment>
    <comment ref="H28" authorId="0">
      <text>
        <r>
          <rPr>
            <b/>
            <sz val="8"/>
            <color indexed="81"/>
            <rFont val="Tahoma"/>
            <family val="2"/>
          </rPr>
          <t>Annual Salary is derived here.</t>
        </r>
        <r>
          <rPr>
            <sz val="8"/>
            <color indexed="81"/>
            <rFont val="Tahoma"/>
            <family val="2"/>
          </rPr>
          <t xml:space="preserve">
</t>
        </r>
      </text>
    </comment>
    <comment ref="E30" authorId="0">
      <text>
        <r>
          <rPr>
            <b/>
            <sz val="8"/>
            <color indexed="81"/>
            <rFont val="Tahoma"/>
            <family val="2"/>
          </rPr>
          <t>Enter 1.0 for 100%, or a percentage up to four decimal places (e.g., .7562 for 75.62% time).</t>
        </r>
        <r>
          <rPr>
            <sz val="8"/>
            <color indexed="81"/>
            <rFont val="Tahoma"/>
            <family val="2"/>
          </rPr>
          <t xml:space="preserve">
</t>
        </r>
      </text>
    </comment>
    <comment ref="E32" authorId="0">
      <text>
        <r>
          <rPr>
            <b/>
            <sz val="8"/>
            <color indexed="81"/>
            <rFont val="Tahoma"/>
            <family val="2"/>
          </rPr>
          <t xml:space="preserve">If individual has an
Instructor title, enter "X" in this box.
</t>
        </r>
        <r>
          <rPr>
            <sz val="8"/>
            <color indexed="81"/>
            <rFont val="Tahoma"/>
            <family val="2"/>
          </rPr>
          <t xml:space="preserve">
</t>
        </r>
      </text>
    </comment>
    <comment ref="F34" authorId="0">
      <text>
        <r>
          <rPr>
            <b/>
            <sz val="8"/>
            <color indexed="81"/>
            <rFont val="Tahoma"/>
            <family val="2"/>
          </rPr>
          <t>Enter desired step level
in one of these three boxes, based on individual's current rank.</t>
        </r>
        <r>
          <rPr>
            <sz val="8"/>
            <color indexed="81"/>
            <rFont val="Tahoma"/>
            <family val="2"/>
          </rPr>
          <t xml:space="preserve">
</t>
        </r>
      </text>
    </comment>
    <comment ref="I38" authorId="0">
      <text>
        <r>
          <rPr>
            <b/>
            <sz val="8"/>
            <color indexed="81"/>
            <rFont val="Tahoma"/>
            <family val="2"/>
          </rPr>
          <t>Prorated by Total Percent Time entered in Cell D20</t>
        </r>
        <r>
          <rPr>
            <sz val="8"/>
            <color indexed="81"/>
            <rFont val="Tahoma"/>
            <family val="2"/>
          </rPr>
          <t xml:space="preserve">
</t>
        </r>
      </text>
    </comment>
    <comment ref="A40" authorId="2">
      <text>
        <r>
          <rPr>
            <b/>
            <sz val="8"/>
            <color indexed="81"/>
            <rFont val="Tahoma"/>
            <family val="2"/>
          </rPr>
          <t xml:space="preserve">Is the funding source subject to the NIH Cap?
See list of applicable caps, above, right.
</t>
        </r>
      </text>
    </comment>
    <comment ref="F40" authorId="2">
      <text>
        <r>
          <rPr>
            <b/>
            <sz val="8"/>
            <color indexed="81"/>
            <rFont val="Tahoma"/>
            <family val="2"/>
          </rPr>
          <t xml:space="preserve">Enter 0.5 for 50%.
You may enter up to four decimal places. (e.g. .5555)
</t>
        </r>
        <r>
          <rPr>
            <sz val="8"/>
            <color indexed="81"/>
            <rFont val="Tahoma"/>
            <family val="2"/>
          </rPr>
          <t xml:space="preserve">
</t>
        </r>
      </text>
    </comment>
    <comment ref="G40" authorId="0">
      <text>
        <r>
          <rPr>
            <b/>
            <sz val="8"/>
            <color indexed="81"/>
            <rFont val="Tahoma"/>
            <family val="2"/>
          </rPr>
          <t>Enter monthly target dollars.</t>
        </r>
        <r>
          <rPr>
            <sz val="8"/>
            <color indexed="81"/>
            <rFont val="Tahoma"/>
            <family val="2"/>
          </rPr>
          <t xml:space="preserve">
</t>
        </r>
      </text>
    </comment>
    <comment ref="H40" authorId="1">
      <text>
        <r>
          <rPr>
            <b/>
            <sz val="8"/>
            <color indexed="81"/>
            <rFont val="Tahoma"/>
            <family val="2"/>
          </rPr>
          <t>Derived from actual Percent x salary rate or salary cap rate if applicable.  If Target percent is entered, formula is derived from percent x rate.</t>
        </r>
      </text>
    </comment>
    <comment ref="I40"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2.xml><?xml version="1.0" encoding="utf-8"?>
<comments xmlns="http://schemas.openxmlformats.org/spreadsheetml/2006/main">
  <authors>
    <author>Sally A. Mead</author>
    <author>Nancy Jane Walters</author>
    <author>DK</author>
  </authors>
  <commentList>
    <comment ref="B25" authorId="0">
      <text>
        <r>
          <rPr>
            <b/>
            <sz val="8"/>
            <color indexed="81"/>
            <rFont val="Tahoma"/>
            <family val="2"/>
          </rPr>
          <t>Fill in only one of these two boxes.</t>
        </r>
      </text>
    </comment>
    <comment ref="H25" authorId="1">
      <text>
        <r>
          <rPr>
            <b/>
            <sz val="8"/>
            <color indexed="81"/>
            <rFont val="Tahoma"/>
            <family val="2"/>
          </rPr>
          <t>The X factor is derived if not entered in cell D18</t>
        </r>
        <r>
          <rPr>
            <sz val="8"/>
            <color indexed="81"/>
            <rFont val="Tahoma"/>
            <family val="2"/>
          </rPr>
          <t xml:space="preserve">
</t>
        </r>
      </text>
    </comment>
    <comment ref="H28" authorId="0">
      <text>
        <r>
          <rPr>
            <b/>
            <sz val="8"/>
            <color indexed="81"/>
            <rFont val="Tahoma"/>
            <family val="2"/>
          </rPr>
          <t>Annual Salary is derived here.</t>
        </r>
        <r>
          <rPr>
            <sz val="8"/>
            <color indexed="81"/>
            <rFont val="Tahoma"/>
            <family val="2"/>
          </rPr>
          <t xml:space="preserve">
</t>
        </r>
      </text>
    </comment>
    <comment ref="E30" authorId="0">
      <text>
        <r>
          <rPr>
            <b/>
            <sz val="8"/>
            <color indexed="81"/>
            <rFont val="Tahoma"/>
            <family val="2"/>
          </rPr>
          <t>Enter 1.0 for 100%, or a percentage up to four decimal places (e.g., .7562 for 75.62% time).</t>
        </r>
        <r>
          <rPr>
            <sz val="8"/>
            <color indexed="81"/>
            <rFont val="Tahoma"/>
            <family val="2"/>
          </rPr>
          <t xml:space="preserve">
</t>
        </r>
      </text>
    </comment>
    <comment ref="E32" authorId="0">
      <text>
        <r>
          <rPr>
            <b/>
            <sz val="8"/>
            <color indexed="81"/>
            <rFont val="Tahoma"/>
            <family val="2"/>
          </rPr>
          <t xml:space="preserve">If individual has an
Instructor title, enter "X" in this box.
</t>
        </r>
        <r>
          <rPr>
            <sz val="8"/>
            <color indexed="81"/>
            <rFont val="Tahoma"/>
            <family val="2"/>
          </rPr>
          <t xml:space="preserve">
</t>
        </r>
      </text>
    </comment>
    <comment ref="I32" authorId="0">
      <text>
        <r>
          <rPr>
            <b/>
            <sz val="8"/>
            <color indexed="81"/>
            <rFont val="Tahoma"/>
            <family val="2"/>
          </rPr>
          <t>Fill in only one of the four boxes at the right, based on individual's approved title.</t>
        </r>
        <r>
          <rPr>
            <sz val="8"/>
            <color indexed="81"/>
            <rFont val="Tahoma"/>
            <family val="2"/>
          </rPr>
          <t xml:space="preserve">
</t>
        </r>
      </text>
    </comment>
    <comment ref="J32" authorId="0">
      <text>
        <r>
          <rPr>
            <b/>
            <sz val="8"/>
            <color indexed="81"/>
            <rFont val="Tahoma"/>
            <family val="2"/>
          </rPr>
          <t>Enter approved base amount for Instructor.</t>
        </r>
        <r>
          <rPr>
            <sz val="8"/>
            <color indexed="81"/>
            <rFont val="Tahoma"/>
            <family val="2"/>
          </rPr>
          <t xml:space="preserve">
</t>
        </r>
      </text>
    </comment>
    <comment ref="J33" authorId="0">
      <text>
        <r>
          <rPr>
            <b/>
            <sz val="8"/>
            <color indexed="81"/>
            <rFont val="Tahoma"/>
            <family val="2"/>
          </rPr>
          <t xml:space="preserve">Enter Approved Base Amount for Assistant Professor.
</t>
        </r>
        <r>
          <rPr>
            <sz val="8"/>
            <color indexed="81"/>
            <rFont val="Tahoma"/>
            <family val="2"/>
          </rPr>
          <t xml:space="preserve">
</t>
        </r>
      </text>
    </comment>
    <comment ref="F34" authorId="0">
      <text>
        <r>
          <rPr>
            <b/>
            <sz val="8"/>
            <color indexed="81"/>
            <rFont val="Tahoma"/>
            <family val="2"/>
          </rPr>
          <t>Enter desired step level
in one of these three boxes, based on individual's current rank.</t>
        </r>
        <r>
          <rPr>
            <sz val="8"/>
            <color indexed="81"/>
            <rFont val="Tahoma"/>
            <family val="2"/>
          </rPr>
          <t xml:space="preserve">
</t>
        </r>
      </text>
    </comment>
    <comment ref="J34" authorId="0">
      <text>
        <r>
          <rPr>
            <b/>
            <sz val="8"/>
            <color indexed="81"/>
            <rFont val="Tahoma"/>
            <family val="2"/>
          </rPr>
          <t xml:space="preserve">Enter Approved Base Amount for Associate Professor.
</t>
        </r>
        <r>
          <rPr>
            <sz val="8"/>
            <color indexed="81"/>
            <rFont val="Tahoma"/>
            <family val="2"/>
          </rPr>
          <t xml:space="preserve">
</t>
        </r>
      </text>
    </comment>
    <comment ref="J35" authorId="0">
      <text>
        <r>
          <rPr>
            <b/>
            <sz val="8"/>
            <color indexed="81"/>
            <rFont val="Tahoma"/>
            <family val="2"/>
          </rPr>
          <t>Enter Approved Base Amount for Full Professor.</t>
        </r>
        <r>
          <rPr>
            <sz val="8"/>
            <color indexed="81"/>
            <rFont val="Tahoma"/>
            <family val="2"/>
          </rPr>
          <t xml:space="preserve">
</t>
        </r>
      </text>
    </comment>
    <comment ref="I38" authorId="0">
      <text>
        <r>
          <rPr>
            <b/>
            <sz val="8"/>
            <color indexed="81"/>
            <rFont val="Tahoma"/>
            <family val="2"/>
          </rPr>
          <t>Prorated by Total Percent Time entered in Cell D20</t>
        </r>
        <r>
          <rPr>
            <sz val="8"/>
            <color indexed="81"/>
            <rFont val="Tahoma"/>
            <family val="2"/>
          </rPr>
          <t xml:space="preserve">
</t>
        </r>
      </text>
    </comment>
    <comment ref="A40" authorId="2">
      <text>
        <r>
          <rPr>
            <b/>
            <sz val="8"/>
            <color indexed="81"/>
            <rFont val="Tahoma"/>
            <family val="2"/>
          </rPr>
          <t>Is the funding source subject to the NIH Cap?
Refer to list of applicable caps above.</t>
        </r>
      </text>
    </comment>
    <comment ref="F40" authorId="2">
      <text>
        <r>
          <rPr>
            <b/>
            <sz val="8"/>
            <color indexed="81"/>
            <rFont val="Tahoma"/>
            <family val="2"/>
          </rPr>
          <t xml:space="preserve">Enter 0.5 for 50%.
You may enter up to four decimal places. (e.g. .5555)
</t>
        </r>
        <r>
          <rPr>
            <sz val="8"/>
            <color indexed="81"/>
            <rFont val="Tahoma"/>
            <family val="2"/>
          </rPr>
          <t xml:space="preserve">
</t>
        </r>
      </text>
    </comment>
    <comment ref="G40" authorId="0">
      <text>
        <r>
          <rPr>
            <b/>
            <sz val="8"/>
            <color indexed="81"/>
            <rFont val="Tahoma"/>
            <family val="2"/>
          </rPr>
          <t>Enter monthly target dollars.</t>
        </r>
        <r>
          <rPr>
            <sz val="8"/>
            <color indexed="81"/>
            <rFont val="Tahoma"/>
            <family val="2"/>
          </rPr>
          <t xml:space="preserve">
</t>
        </r>
      </text>
    </comment>
    <comment ref="H40" authorId="1">
      <text>
        <r>
          <rPr>
            <b/>
            <sz val="8"/>
            <color indexed="81"/>
            <rFont val="Tahoma"/>
            <family val="2"/>
          </rPr>
          <t>Derived from actual Percent x salary rate or salary cap rate if applicable.  If Target percent is entered, formula is derived from percent x rate.</t>
        </r>
      </text>
    </comment>
    <comment ref="I40"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3.xml><?xml version="1.0" encoding="utf-8"?>
<comments xmlns="http://schemas.openxmlformats.org/spreadsheetml/2006/main">
  <authors>
    <author>Sally A. Mead</author>
    <author>Nancy Jane Walters</author>
    <author>DK</author>
  </authors>
  <commentList>
    <comment ref="B25" authorId="0">
      <text>
        <r>
          <rPr>
            <b/>
            <sz val="8"/>
            <color indexed="81"/>
            <rFont val="Tahoma"/>
            <family val="2"/>
          </rPr>
          <t>Fill in only one of these two boxes.</t>
        </r>
      </text>
    </comment>
    <comment ref="H25" authorId="1">
      <text>
        <r>
          <rPr>
            <b/>
            <sz val="8"/>
            <color indexed="81"/>
            <rFont val="Tahoma"/>
            <family val="2"/>
          </rPr>
          <t>The X factor is derived if not entered</t>
        </r>
        <r>
          <rPr>
            <sz val="8"/>
            <color indexed="81"/>
            <rFont val="Tahoma"/>
            <family val="2"/>
          </rPr>
          <t xml:space="preserve">
</t>
        </r>
      </text>
    </comment>
    <comment ref="H28" authorId="0">
      <text>
        <r>
          <rPr>
            <b/>
            <sz val="8"/>
            <color indexed="81"/>
            <rFont val="Tahoma"/>
            <family val="2"/>
          </rPr>
          <t>Annual Salary is derived here.</t>
        </r>
        <r>
          <rPr>
            <sz val="8"/>
            <color indexed="81"/>
            <rFont val="Tahoma"/>
            <family val="2"/>
          </rPr>
          <t xml:space="preserve">
</t>
        </r>
      </text>
    </comment>
    <comment ref="E30" authorId="0">
      <text>
        <r>
          <rPr>
            <b/>
            <sz val="8"/>
            <color indexed="81"/>
            <rFont val="Tahoma"/>
            <family val="2"/>
          </rPr>
          <t>Enter 1.0 for 100%, or a percentage up to four decimal places (e.g., .7562 for 75.62% time).</t>
        </r>
        <r>
          <rPr>
            <sz val="8"/>
            <color indexed="81"/>
            <rFont val="Tahoma"/>
            <family val="2"/>
          </rPr>
          <t xml:space="preserve">
</t>
        </r>
      </text>
    </comment>
    <comment ref="E32" authorId="0">
      <text>
        <r>
          <rPr>
            <b/>
            <sz val="8"/>
            <color indexed="81"/>
            <rFont val="Tahoma"/>
            <family val="2"/>
          </rPr>
          <t xml:space="preserve">If individual has an
Instructor title, enter "X" in this box.
</t>
        </r>
        <r>
          <rPr>
            <sz val="8"/>
            <color indexed="81"/>
            <rFont val="Tahoma"/>
            <family val="2"/>
          </rPr>
          <t xml:space="preserve">
</t>
        </r>
      </text>
    </comment>
    <comment ref="F34" authorId="0">
      <text>
        <r>
          <rPr>
            <b/>
            <sz val="8"/>
            <color indexed="81"/>
            <rFont val="Tahoma"/>
            <family val="2"/>
          </rPr>
          <t>Enter desired step level
in one of these three boxes, based on individual's current rank.</t>
        </r>
        <r>
          <rPr>
            <sz val="8"/>
            <color indexed="81"/>
            <rFont val="Tahoma"/>
            <family val="2"/>
          </rPr>
          <t xml:space="preserve">
</t>
        </r>
      </text>
    </comment>
    <comment ref="E35" authorId="0">
      <text>
        <r>
          <rPr>
            <b/>
            <sz val="8"/>
            <color indexed="81"/>
            <rFont val="Tahoma"/>
            <family val="2"/>
          </rPr>
          <t xml:space="preserve">Enter the Approved Above Annual Base Salary Here, rounded to the nearest 100 dollars.
</t>
        </r>
        <r>
          <rPr>
            <sz val="8"/>
            <color indexed="81"/>
            <rFont val="Tahoma"/>
            <family val="2"/>
          </rPr>
          <t xml:space="preserve">
</t>
        </r>
      </text>
    </comment>
    <comment ref="I38" authorId="0">
      <text>
        <r>
          <rPr>
            <b/>
            <sz val="8"/>
            <color indexed="81"/>
            <rFont val="Tahoma"/>
            <family val="2"/>
          </rPr>
          <t xml:space="preserve">Prorated by Total Percent Time entered in Cell D20
</t>
        </r>
        <r>
          <rPr>
            <sz val="8"/>
            <color indexed="81"/>
            <rFont val="Tahoma"/>
            <family val="2"/>
          </rPr>
          <t xml:space="preserve">
</t>
        </r>
      </text>
    </comment>
    <comment ref="A40" authorId="2">
      <text>
        <r>
          <rPr>
            <b/>
            <sz val="8"/>
            <color indexed="81"/>
            <rFont val="Tahoma"/>
            <family val="2"/>
          </rPr>
          <t>Is the funding source subject to the NIH Cap?
Enter an applicable salary cap (see list above).</t>
        </r>
      </text>
    </comment>
    <comment ref="F40" authorId="2">
      <text>
        <r>
          <rPr>
            <b/>
            <sz val="8"/>
            <color indexed="81"/>
            <rFont val="Tahoma"/>
            <family val="2"/>
          </rPr>
          <t xml:space="preserve">Enter 0.5 for 50%.
You may enter up to four decimal places. (e.g. .5555)
</t>
        </r>
        <r>
          <rPr>
            <sz val="8"/>
            <color indexed="81"/>
            <rFont val="Tahoma"/>
            <family val="2"/>
          </rPr>
          <t xml:space="preserve">
</t>
        </r>
      </text>
    </comment>
    <comment ref="G40" authorId="0">
      <text>
        <r>
          <rPr>
            <b/>
            <sz val="8"/>
            <color indexed="81"/>
            <rFont val="Tahoma"/>
            <family val="2"/>
          </rPr>
          <t>Enter monthly target dollars.</t>
        </r>
        <r>
          <rPr>
            <sz val="8"/>
            <color indexed="81"/>
            <rFont val="Tahoma"/>
            <family val="2"/>
          </rPr>
          <t xml:space="preserve">
</t>
        </r>
      </text>
    </comment>
    <comment ref="H40" authorId="1">
      <text>
        <r>
          <rPr>
            <b/>
            <sz val="8"/>
            <color indexed="81"/>
            <rFont val="Tahoma"/>
            <family val="2"/>
          </rPr>
          <t>Derived from actual Percent x salary rate or salary cap rate if applicable.  If Target percent is entered, formula is derived from percent x rate.</t>
        </r>
      </text>
    </comment>
    <comment ref="I40"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sharedStrings.xml><?xml version="1.0" encoding="utf-8"?>
<sst xmlns="http://schemas.openxmlformats.org/spreadsheetml/2006/main" count="698" uniqueCount="197">
  <si>
    <t>X Factor :</t>
  </si>
  <si>
    <t>Scale :</t>
  </si>
  <si>
    <t>Base</t>
  </si>
  <si>
    <t>HST</t>
  </si>
  <si>
    <t>HSR</t>
  </si>
  <si>
    <t>HSC</t>
  </si>
  <si>
    <t>Total</t>
  </si>
  <si>
    <t>DISTRIBUTION</t>
  </si>
  <si>
    <t>REG</t>
  </si>
  <si>
    <t>TOTAL</t>
  </si>
  <si>
    <t>Original</t>
  </si>
  <si>
    <t>Residual</t>
  </si>
  <si>
    <t>Total compensation distribution</t>
  </si>
  <si>
    <t>Target</t>
  </si>
  <si>
    <t>compensation</t>
  </si>
  <si>
    <t>distribution</t>
  </si>
  <si>
    <t>HBT</t>
  </si>
  <si>
    <t>BYC</t>
  </si>
  <si>
    <t>FY</t>
  </si>
  <si>
    <t>Scale</t>
  </si>
  <si>
    <t>Rank</t>
  </si>
  <si>
    <t>Step</t>
  </si>
  <si>
    <t>Instructor</t>
  </si>
  <si>
    <t>Asst Prof</t>
  </si>
  <si>
    <t>Assoc Prof</t>
  </si>
  <si>
    <t>Professor</t>
  </si>
  <si>
    <t>HST Differentials</t>
  </si>
  <si>
    <t>HSR Differentials</t>
  </si>
  <si>
    <t>Scales</t>
  </si>
  <si>
    <t>Step:</t>
  </si>
  <si>
    <t>Quick reconciliation box</t>
  </si>
  <si>
    <t>x</t>
  </si>
  <si>
    <t>Comp.</t>
  </si>
  <si>
    <t>Adjust.</t>
  </si>
  <si>
    <t>Annual payment amounts</t>
  </si>
  <si>
    <t>@ Fed.rate</t>
  </si>
  <si>
    <t>Dept. compensation</t>
  </si>
  <si>
    <t>%</t>
  </si>
  <si>
    <t>@ Dept.rate</t>
  </si>
  <si>
    <t>Total Amt.</t>
  </si>
  <si>
    <t xml:space="preserve"> </t>
  </si>
  <si>
    <t>HSA</t>
  </si>
  <si>
    <t>FULL-TIME COMPENSATION BY DOS TYPE</t>
  </si>
  <si>
    <t>Total Percent Time:</t>
  </si>
  <si>
    <t>Last Name :</t>
  </si>
  <si>
    <t>First Name :</t>
  </si>
  <si>
    <t>NIH
CAP</t>
  </si>
  <si>
    <t>Target Percent</t>
  </si>
  <si>
    <t>Actual
Percent</t>
  </si>
  <si>
    <t>Enter Funding Information Below  (Enter Target Percent OR Target Dollars)</t>
  </si>
  <si>
    <t>Name</t>
  </si>
  <si>
    <t>Fund 
Number</t>
  </si>
  <si>
    <t>SCALE 0</t>
  </si>
  <si>
    <t>SCALE 1</t>
  </si>
  <si>
    <t>SCALE 2</t>
  </si>
  <si>
    <t>SCALE 3</t>
  </si>
  <si>
    <t>SCALE 4</t>
  </si>
  <si>
    <t>SCALE 5</t>
  </si>
  <si>
    <t>SCALE 6</t>
  </si>
  <si>
    <t>SCALE 7</t>
  </si>
  <si>
    <t>RANK</t>
  </si>
  <si>
    <t>STEP</t>
  </si>
  <si>
    <t>FY SCALE</t>
  </si>
  <si>
    <t>HST DIFF</t>
  </si>
  <si>
    <t>HSR DIFF</t>
  </si>
  <si>
    <t>Enter Target Annual Salary:</t>
  </si>
  <si>
    <t>Enter Target X-Factor:</t>
  </si>
  <si>
    <t>Assistant (enter step):</t>
  </si>
  <si>
    <t>Associate (enter step):</t>
  </si>
  <si>
    <t>Professor (enter step):</t>
  </si>
  <si>
    <t>Is Salary over low NIH Salary Cap?</t>
  </si>
  <si>
    <t xml:space="preserve">Total Annual   </t>
  </si>
  <si>
    <t xml:space="preserve">Total Monthly  </t>
  </si>
  <si>
    <t>Comments:</t>
  </si>
  <si>
    <t>Salary:</t>
  </si>
  <si>
    <t>Professor (enter BASE):</t>
  </si>
  <si>
    <t>Assistant (enter base):</t>
  </si>
  <si>
    <t>Associate (enter base):</t>
  </si>
  <si>
    <t>Professor (enter base):</t>
  </si>
  <si>
    <t>Enter Annual Salary OR X Factor:</t>
  </si>
  <si>
    <t>Inclusive Dates :</t>
  </si>
  <si>
    <t>?</t>
  </si>
  <si>
    <t xml:space="preserve">Now Tab down to enter Total Percent Time.    </t>
  </si>
  <si>
    <t>Scale:</t>
  </si>
  <si>
    <t>Instructor (enter base):</t>
  </si>
  <si>
    <t>X</t>
  </si>
  <si>
    <t>Instructor (enter "x"):</t>
  </si>
  <si>
    <t>Monthly NIH Salary Cap Differential</t>
  </si>
  <si>
    <t>Derived Dollars (Monthly)</t>
  </si>
  <si>
    <t>Target Dollars (Monthly)</t>
  </si>
  <si>
    <t>In most cases, the Tab key is used to move from cell to cell in this spreadsheet; however the Enter key is used to move from one line to the next when entering funding information.</t>
  </si>
  <si>
    <t>Tab down to enter the Annual Salary or the X Factor.  Note that if you enter the Annual Salary, the X Factor is calculated and displayed, and if you enter the X Factor, the Annual Salary is calculated and displayed.</t>
  </si>
  <si>
    <r>
      <t>You will see that the unprotected fields in the left half of the spreadsheet are highlighted in yellow.  These are the cells in which you may enter information.</t>
    </r>
    <r>
      <rPr>
        <b/>
        <sz val="10"/>
        <color indexed="21"/>
        <rFont val="Arial"/>
        <family val="2"/>
      </rPr>
      <t xml:space="preserve"> </t>
    </r>
  </si>
  <si>
    <r>
      <t xml:space="preserve">* </t>
    </r>
    <r>
      <rPr>
        <sz val="10"/>
        <rFont val="Arial"/>
      </rPr>
      <t>By exception, as approved by the UC Office of the President, 19900 funds from LPPI, Occupational Medicine, and certain other specific research areas are exempt from the limitations described in nos. 3 and 4 above.</t>
    </r>
  </si>
  <si>
    <t>4.  Only the fiscal year base component of salary is 'off-scale'; the other components of covered compensation (i.e., HST and HSR) remain at the on-scale rate associated with the individual's rank and step in the published UC Salary Scales.</t>
  </si>
  <si>
    <t>The instructions for on-scale PAF calculations also apply to Above Scale calculations, with the exception of the following:  After entering 'Total Percent Time' and 'Scale', enter the approved Above Scale fiscal year base rate in the field labeled 'Professor (enter FY Base)'.</t>
  </si>
  <si>
    <t>2.  Academic Advancements and Range Adjustments:  In general, there are two options for dealing with possible increases in fiscal year base occasioned by range adjustments or by the faculty member's academic advancement; however, the School of Nursing requires the use of Option 2 only.</t>
  </si>
  <si>
    <t xml:space="preserve">If you hold the mouse over the red arrows that appear in the corners of certain fields, you will see a comment box with information about that particular field or item.  Click on the ? to get to this linked worksheet of instructions for that item.  Click within the instruction cell to return to the Calculation spreadsheet. </t>
  </si>
  <si>
    <r>
      <t>BYC</t>
    </r>
    <r>
      <rPr>
        <sz val="8"/>
        <rFont val="Arial"/>
        <family val="2"/>
      </rPr>
      <t xml:space="preserve">=DOS code for salary differential on HSC lines subject to NIH cap adjuctment; covered by same benefits as HSC lines; may only be charged to discretionary funds (N.B., in particular, may </t>
    </r>
    <r>
      <rPr>
        <u/>
        <sz val="8"/>
        <rFont val="Arial"/>
        <family val="2"/>
      </rPr>
      <t>never</t>
    </r>
    <r>
      <rPr>
        <sz val="8"/>
        <rFont val="Arial"/>
        <family val="2"/>
      </rPr>
      <t xml:space="preserve"> be charged to federal, state, county or city funds).</t>
    </r>
  </si>
  <si>
    <t>1.  A faculty member's salary is designated 'off-scale' if the fiscal year base rate is higher than the rate associated with her/his rank and step in the published UC Salary Scales.  Requests for off-scale salaries must be reviewed and approved in advance, both at the School level and by the Vice Chancellor, Academic Affairs.  They are approved as flat dollar amounts that, like the annual fiscal year base rates, must be rounded to the nearest 100 dollars.  (N.B.: The EDB record for a faculty member with an off-scale FY base rate reflects the individual's approved step on each distribution line, and in addition, an 'O' is recorded in the Off/Above Scale field immediately to the right of Step).</t>
  </si>
  <si>
    <r>
      <t xml:space="preserve">3.  Unless an exception to academic policy is requested and approved, a faculty member approved for an off-scale base salary must be returned to on-scale after two subsequent academic advancements (for example, after a merit </t>
    </r>
    <r>
      <rPr>
        <u/>
        <sz val="10"/>
        <rFont val="Arial"/>
        <family val="2"/>
      </rPr>
      <t>and</t>
    </r>
    <r>
      <rPr>
        <sz val="10"/>
        <rFont val="Arial"/>
      </rPr>
      <t xml:space="preserve"> a promotion have been approved.)</t>
    </r>
  </si>
  <si>
    <r>
      <t>HBT</t>
    </r>
    <r>
      <rPr>
        <sz val="8"/>
        <rFont val="Arial"/>
        <family val="2"/>
      </rPr>
      <t xml:space="preserve">=DOS code for salary differential on HST lines subject to NIH cap adjustment; covered by same benefits as HST lines; may only be charged to discretionary funds (N.B., in particular, may </t>
    </r>
    <r>
      <rPr>
        <u/>
        <sz val="8"/>
        <rFont val="Arial"/>
        <family val="2"/>
      </rPr>
      <t>never</t>
    </r>
    <r>
      <rPr>
        <sz val="8"/>
        <rFont val="Arial"/>
        <family val="2"/>
      </rPr>
      <t xml:space="preserve"> be charged to federal, state, county or city funds).</t>
    </r>
  </si>
  <si>
    <r>
      <t>HSA</t>
    </r>
    <r>
      <rPr>
        <sz val="8"/>
        <rFont val="Arial"/>
        <family val="2"/>
      </rPr>
      <t xml:space="preserve">=DOS code for salary differential on HSR lines subject to NIH cap adjustment; covered by same benefits as HSR lines; may only be charged to discretionary funds (N.B., in particular, may </t>
    </r>
    <r>
      <rPr>
        <u/>
        <sz val="8"/>
        <rFont val="Arial"/>
        <family val="2"/>
      </rPr>
      <t>never</t>
    </r>
    <r>
      <rPr>
        <sz val="8"/>
        <rFont val="Arial"/>
        <family val="2"/>
      </rPr>
      <t xml:space="preserve"> be charged to federal, state, county or city funds).</t>
    </r>
  </si>
  <si>
    <t>At the bottom of this page, there are additional optional fields in which the department may enter comments, approval initials or signatures, and/or the date on which the form was created or processed.</t>
  </si>
  <si>
    <t>Approved by:</t>
  </si>
  <si>
    <t>Date Processed:</t>
  </si>
  <si>
    <r>
      <t xml:space="preserve">     Option 1:</t>
    </r>
    <r>
      <rPr>
        <sz val="10"/>
        <rFont val="Arial"/>
      </rPr>
      <t xml:space="preserve">  Hold the off-scale base rate flat in order to move the person back gradually toward an on-scale salary; if this option is chosen, it is essential that the faculty member be notified that his/her salary will </t>
    </r>
    <r>
      <rPr>
        <u/>
        <sz val="10"/>
        <rFont val="Arial"/>
        <family val="2"/>
      </rPr>
      <t>not</t>
    </r>
    <r>
      <rPr>
        <sz val="10"/>
        <rFont val="Arial"/>
      </rPr>
      <t xml:space="preserve"> increase.</t>
    </r>
  </si>
  <si>
    <r>
      <t xml:space="preserve">     Option 2:</t>
    </r>
    <r>
      <rPr>
        <sz val="10"/>
        <rFont val="Arial"/>
      </rPr>
      <t xml:space="preserve">  Increase the off-scale fiscal year base rate by the exact dollar amount that the faculty member would have received if paid on-scale.  (Example:  At the present time, the fiscal year base of on-scale assistant professor being merited from step 3 to step 4 would increase by $1,100/year; therefore $1,100 would be added to the fiscal year base rate of a faculty member paid off-scale to derive his/her new off-scale, step 4 base salary rate.) </t>
    </r>
  </si>
  <si>
    <t>2.  For ladder rank faculty with a 19900 BSE line: at least 1/3 of FY base salary must be paid from 19900; this amount may, however, be averaged over a fiscal year.</t>
  </si>
  <si>
    <r>
      <t>4.  For faculty in the Adjunct or In Residence series:  19900 funds may not be used to pay more than 50% of the FY base; this amount, which must be pro-rated by a faculty member's total appointment percent, may be averaged over a fiscal year.</t>
    </r>
    <r>
      <rPr>
        <sz val="10"/>
        <color indexed="10"/>
        <rFont val="Arial"/>
        <family val="2"/>
      </rPr>
      <t>*</t>
    </r>
  </si>
  <si>
    <t>5.  Faculty in the Adjunct and In Residence series may not be assigned more than 0.50 FTE, pro-rated by the total appointment percent.*</t>
  </si>
  <si>
    <t>6. However, Clinical or Clinical X series faculty may be paid up to 100% of their FY base from 19900 funds.</t>
  </si>
  <si>
    <t>3.  For non-ladder rank faculty with a full or partial BSE line: at least 50% of the FY base salary, pro-rated by percent of the FTE assigned, must be paid from 19900 (e.g., the formula to be applied for a faculty member assigned a 0.25 FTE: 50% of FY base dollars x .25 FTE = minimum dollars that must be paid from 19900); this amount may, however, be averaged over a fiscal year.</t>
  </si>
  <si>
    <t>Employee ID:</t>
  </si>
  <si>
    <t>Enter the faculty member's Employee Number, Last and First Name and the inclusive period covered by the funding information you are going to enter.</t>
  </si>
  <si>
    <t>1. The General Health Sciences Comp Plan limits the total salary of faculty who  are members of this plan to a maximum of 1.825 times their fiscal year base, but the Medical School Clinical Compensation Plan imposes no limita-tions on faculty salaries.</t>
  </si>
  <si>
    <t>2. All School of Medicine faculty who are members of the Gencomp Plan must be paid on Scale 1; faculty who are members of the Medical School Clinical Compensation Plan, however, may be assigned to Scales 0 through 8, depending on the Scale approved for their departmental or divisional Academic Programmatic Unit.</t>
  </si>
  <si>
    <t>Percentage by DOS Code</t>
  </si>
  <si>
    <t xml:space="preserve">Monthly </t>
  </si>
  <si>
    <t>Annual</t>
  </si>
  <si>
    <t>Tab down to the 'Scale' field and enter the number of the compensation plan salary scale (i.e., Scale 0 through 9) on which this faculty member is paid.</t>
  </si>
  <si>
    <r>
      <t xml:space="preserve">1.  Above Scale salaries result when a faculty member at the full professor level is approved for a merit advancement </t>
    </r>
    <r>
      <rPr>
        <u/>
        <sz val="10"/>
        <rFont val="Arial"/>
        <family val="2"/>
      </rPr>
      <t>beyond</t>
    </r>
    <r>
      <rPr>
        <sz val="10"/>
        <rFont val="Arial"/>
      </rPr>
      <t xml:space="preserve"> the highest step on the UC faculty fiscal year salary scale; at the present time, this would apply to any merit advancement beyond Professor, step 9.  (N.B.: When this occurs, the Step field in the individual's EDB record is blank, but an 'A' is recorded in the Off/Above Scale field).</t>
    </r>
  </si>
  <si>
    <r>
      <t xml:space="preserve">3. </t>
    </r>
    <r>
      <rPr>
        <sz val="10"/>
        <rFont val="Arial"/>
      </rPr>
      <t xml:space="preserve"> Above Scale Merits</t>
    </r>
    <r>
      <rPr>
        <b/>
        <sz val="10"/>
        <rFont val="Arial"/>
        <family val="2"/>
      </rPr>
      <t>:</t>
    </r>
    <r>
      <rPr>
        <sz val="10"/>
        <rFont val="Arial"/>
      </rPr>
      <t xml:space="preserve">  The annual fiscal year base resulting from the first Above Scale merit should equal an amount 5% above the step 9 FY base; this amount must be rounded to the nearest hundred.  Any subsequent Above Scale merits are to be calculated as 5% increases to the prior FY base (and must also be rounded to the nearest hundred).</t>
    </r>
  </si>
  <si>
    <t>SCALE 8</t>
  </si>
  <si>
    <t>SCALE 9</t>
  </si>
  <si>
    <t>Enter Information in the blue shaded areas below:</t>
  </si>
  <si>
    <t>FY2002 NIH Salary Cap 1/1/02-12/31/02</t>
  </si>
  <si>
    <t>FY2003 NIH Salary Cap 1/1/03-12/31/03</t>
  </si>
  <si>
    <t>After the Annual Salary or X Factor has been entered, the field, 'Is Salary over low NIH Salary Cap?', will display either a 'Yes' or a 'No'.  A 'Yes' indicates that if any funding sources are subject to the NIH salary cap, enter a number 1-11 to the left of the capped account/fund number (i.e., in the column headed 'NIH Cap') to indicate which NIH cap you plan to use for each fund.  Please note, however, that a 'Yes' in that field does not necessarily mean that any of this individual's salary is NIH funded, only that his/her total salary is greater than the lower of the two caps.</t>
  </si>
  <si>
    <t>FY2004 NIH Salary Cap 1/1/04-12/31/04</t>
  </si>
  <si>
    <t>Program Code</t>
  </si>
  <si>
    <t>FY2005 NIH Salary Cap 1/1/05-12/31/05</t>
  </si>
  <si>
    <t>FY2006 NIH Salary Cap 1/1/06-12/31/06</t>
  </si>
  <si>
    <t>FY2007 NIH Salary Cap 1/1/2007 - 12/31/2007</t>
  </si>
  <si>
    <t>FY2007 NIH Salary Cap 1/1/2007 - 12/31/07</t>
  </si>
  <si>
    <t>FY2008 CIRM Salary Cap 1/1/08 - Forward</t>
  </si>
  <si>
    <t>FY2008 NIH Salary Cap 1/1/2008 - 12/31/08</t>
  </si>
  <si>
    <r>
      <t>State sources cannot be used for salary support above Scale 0 for Health Sciences Compensation Plan faculty. Included in this restriction are funds from Industry-University Cooperative Research Program (IUCRP) programs, such as Discovery Grants.  </t>
    </r>
    <r>
      <rPr>
        <b/>
        <sz val="11"/>
        <color indexed="10"/>
        <rFont val="Arial"/>
        <family val="2"/>
      </rPr>
      <t>Please note that this applies to all funding in the 199xx as well as 18xxx series of fund numbers.</t>
    </r>
  </si>
  <si>
    <t>New for 2009: State Sources for Salary Support</t>
  </si>
  <si>
    <t>FY2009 NIH Salary Cap 1/1/09 - Forward</t>
  </si>
  <si>
    <t>FY2008 CIRM Salary Cap 7/1/2007 - 12/31/07</t>
  </si>
  <si>
    <t>HRG</t>
  </si>
  <si>
    <r>
      <t>HRG</t>
    </r>
    <r>
      <rPr>
        <b/>
        <sz val="10"/>
        <rFont val="Arial"/>
        <family val="2"/>
      </rPr>
      <t xml:space="preserve"> (formerly REG)</t>
    </r>
  </si>
  <si>
    <t>XAC (formerly BYA)</t>
  </si>
  <si>
    <t>Tab down to the appropriate rank for this individual and enter either an 'x' (for an instructor) or the appropriate step (for faculty at the assistant, associate or full professor level).  The fields headed 'Full-Time Compensation by DOS Type' will now be populated with the applicable HRG (formerly REG) (i.e., Fiscal Year Base), HST, HSR, HSC, and Total dollar amounts.  These derived amounts are based on what you entered as Annual Salary or X Factor, Total Percent Time, Scale, Rank and Step.</t>
  </si>
  <si>
    <r>
      <t>Now Tab down to enter funding information.  For each line, you may elect to enter either a monthly Target Percent or a monthly Target Dollar amount.  Remember: if a faculty member's salary exceeds the lower NIH cap rate and your are using a fund source subject to the cap, you must enter a number between 1 and 5 in the NIH cap field in order for the NIH salary differential dollars to be calculated correctly.*  The spreadsheet will distribute available dollars from each fund source to the various salary types (i.e., DOS codes) in the following order: HRG (formerly REG), HST, HSR, and HSC.  IT IS THEREFORE ESSENTIAL that any fund source limited by policy to paying fiscal year base only (i.e., 19900 and/or any other 199xx funds) MUST be entered first, and the dollar amount requested from all 19900 or 199xx funds combined may not exceed the individual's fiscal year base).</t>
    </r>
    <r>
      <rPr>
        <sz val="10"/>
        <color indexed="12"/>
        <rFont val="Arial"/>
        <family val="2"/>
      </rPr>
      <t/>
    </r>
  </si>
  <si>
    <t>Page down until the 'Total Compensation Distribution' line at the bottom of the 'Funding Information' section is visible.  You will see that 'Derived Dollars' and 'Actual Percent' fields are now populated by fund; the 'Distribution' section's HRG (formerly REG), HST, HSR, HSC and TOTAL fields are populated with appropriate percents by fund, and the NIH Salary Cap Differential fields, where required, are populated with dollar amounts.  The amount shown in the 'Total Derived Dollars' field (plus any NIH Salary Cap Differential that is required) should equal the Total Monthly salary indicated above.</t>
  </si>
  <si>
    <t>The instructions for on-scale PAF calculations also apply for off-scale calculations, with the following additional requirement:  Enter the approved off-scale annual fiscal year base rate at the appropriate rank in the column headed HRG (formerly REG) under 'Full-Time Compensation by DOS Type' (you will notice that this column is yellow in the off-scale spreadsheet, to indicate that you may enter data in these fields).</t>
  </si>
  <si>
    <t>2.  The spreadsheet will calculate all components of the faculty member's salary (i.e., HRG (formerly REG), HST, HSR and HSC) based on the approved Above Scale base that you have entered.</t>
  </si>
  <si>
    <t>1. 19900 Funds (in fact, any 199xx funds) may ONLY be used to pay Fiscal Year base, i.e., may be used only on lines with DOS codes HRG (formerly REG) or XAC (formerly BYA).</t>
  </si>
  <si>
    <r>
      <t>* XAC (formerly BYA)</t>
    </r>
    <r>
      <rPr>
        <sz val="8"/>
        <rFont val="Arial"/>
        <family val="2"/>
      </rPr>
      <t xml:space="preserve">=DOS code for salary differential on HRG (formerly REG) lines subject to NIH cap adjustment; covered by same benefits as HRG (formerly REG) lines; may only be charged to discretionary funds (N.B., in particular, may </t>
    </r>
    <r>
      <rPr>
        <u/>
        <sz val="8"/>
        <rFont val="Arial"/>
        <family val="2"/>
      </rPr>
      <t>never</t>
    </r>
    <r>
      <rPr>
        <sz val="8"/>
        <rFont val="Arial"/>
        <family val="2"/>
      </rPr>
      <t xml:space="preserve"> be charged to federal, state, county or city funds).</t>
    </r>
  </si>
  <si>
    <t>FY2009 NIH Salary Cap 1/1/09 -12/31/09</t>
  </si>
  <si>
    <t>DPA Number</t>
  </si>
  <si>
    <t>HSCP Salary Scales as revised October 2011</t>
  </si>
  <si>
    <t>Salary Calculations for HSCP Faculty</t>
  </si>
  <si>
    <r>
      <t xml:space="preserve">FY2009 NIH Salary Cap 01/01/10 - </t>
    </r>
    <r>
      <rPr>
        <sz val="10"/>
        <rFont val="Arial"/>
      </rPr>
      <t>01/08/12</t>
    </r>
  </si>
  <si>
    <t>Due to questions raised regarding the National Institutes of Health (NIH) Salary Cap Notice, additional guidance has been received from the NIH, and the following matrix has been prepared which explains the implementation of the changes from Executive Level 1 to Executive Level 2.</t>
  </si>
  <si>
    <t>NOA Issue Date</t>
  </si>
  <si>
    <t>Type of Award</t>
  </si>
  <si>
    <t>Applicable Salary Cap</t>
  </si>
  <si>
    <t>Rebudget Allowed for Loss in Cap</t>
  </si>
  <si>
    <t>Payroll Reduction/Adjustment</t>
  </si>
  <si>
    <t>Change of Existing Award ID and/or Fund</t>
  </si>
  <si>
    <t>Prior to 10/1/11</t>
  </si>
  <si>
    <t>New / Competing Renewal / Non-competing Continuation</t>
  </si>
  <si>
    <t>N/A</t>
  </si>
  <si>
    <t>No change</t>
  </si>
  <si>
    <t>No</t>
  </si>
  <si>
    <t>10/1/11 - 12/22/11 *</t>
  </si>
  <si>
    <t>New / Competing Renewal</t>
  </si>
  <si>
    <t>$199,700 </t>
  </si>
  <si>
    <t>($179,700 will apply to subsequent budget periods)</t>
  </si>
  <si>
    <t>No - budget will be reduced in subsequent periods</t>
  </si>
  <si>
    <t>No for current budget period - $199,700 Yes for subsequent budget periods - $179,700</t>
  </si>
  <si>
    <t>Non-competing Continuation</t>
  </si>
  <si>
    <t>($179,700 will apply subsequent budget periods)</t>
  </si>
  <si>
    <t>Yes - rebudgeting allowed in subsequent budget periods</t>
  </si>
  <si>
    <t>On and after 12/23/2011</t>
  </si>
  <si>
    <t>No - budget will be reduced</t>
  </si>
  <si>
    <t>Yes - $179,700</t>
  </si>
  <si>
    <t>*See this link for awards issued 10/1/11 – 12/22/11:  FY2012 Grants Subject to Executive Level I Salary Cap</t>
  </si>
  <si>
    <t>Rebudgeting examples and additional NIH guidance are available at:   http://grants.nih.gov/grants/guide/notice-files/NOT-OD-12-035.html</t>
  </si>
  <si>
    <t>If you have questions regarding the above matrix, please contact John Radkowski in Contracts &amp; Grants or Susan Lin in the Controller’s Office.</t>
  </si>
  <si>
    <t>John Radkowski</t>
  </si>
  <si>
    <t>Susan Lin</t>
  </si>
  <si>
    <t>Payroll Reduction/Adjuctment</t>
  </si>
  <si>
    <t>$199,700</t>
  </si>
  <si>
    <t>$199,700 
($179,700 will apply to subsequent budget periods)</t>
  </si>
  <si>
    <t>$179,700</t>
  </si>
  <si>
    <t>Mail links:</t>
  </si>
  <si>
    <t>FY2012 NIH Salary Cap 12/23/11-Forward</t>
  </si>
  <si>
    <t>Note added February 2, 2012</t>
  </si>
  <si>
    <t>Salary Calculation Worksheet for HSCP Faculty</t>
  </si>
  <si>
    <t>v. 02/06/12</t>
  </si>
  <si>
    <t>FY2012 CIRM Salary Cap 07/01/12-06/30/14</t>
  </si>
  <si>
    <r>
      <rPr>
        <b/>
        <sz val="14"/>
        <rFont val="Arial"/>
        <family val="2"/>
      </rPr>
      <t xml:space="preserve">Effective 07/01/12 Forward • For Identified Oct 2011 Merit </t>
    </r>
    <r>
      <rPr>
        <b/>
        <sz val="14"/>
        <color rgb="FFFF0000"/>
        <rFont val="Arial"/>
      </rPr>
      <t>Eligible</t>
    </r>
    <r>
      <rPr>
        <b/>
        <sz val="14"/>
        <rFont val="Arial"/>
        <family val="2"/>
      </rPr>
      <t xml:space="preserve"> Faculty</t>
    </r>
  </si>
  <si>
    <t>v. 09/14/12</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</si>
</sst>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6" formatCode="&quot;$&quot;#,##0_);[Red]\(&quot;$&quot;#,##0\)"/>
    <numFmt numFmtId="43" formatCode="_(* #,##0.00_);_(* \(#,##0.00\);_(* &quot;-&quot;??_);_(@_)"/>
    <numFmt numFmtId="164" formatCode="0.0000"/>
    <numFmt numFmtId="165" formatCode="#,##0.0000"/>
    <numFmt numFmtId="166" formatCode="_(* #,##0_);_(* \(#,##0\);_(* &quot;-&quot;??_);_(@_)"/>
    <numFmt numFmtId="167" formatCode="#,##0.000000"/>
    <numFmt numFmtId="168" formatCode="0.000000"/>
    <numFmt numFmtId="169" formatCode="0;0;0"/>
  </numFmts>
  <fonts count="42" x14ac:knownFonts="1">
    <font>
      <sz val="10"/>
      <name val="Arial"/>
    </font>
    <font>
      <sz val="10"/>
      <name val="Arial"/>
    </font>
    <font>
      <b/>
      <sz val="10"/>
      <name val="Arial"/>
      <family val="2"/>
    </font>
    <font>
      <i/>
      <sz val="10"/>
      <name val="Arial"/>
      <family val="2"/>
    </font>
    <font>
      <u/>
      <sz val="10"/>
      <name val="Arial"/>
      <family val="2"/>
    </font>
    <font>
      <b/>
      <sz val="8"/>
      <name val="Arial"/>
      <family val="2"/>
    </font>
    <font>
      <sz val="9"/>
      <name val="Arial"/>
      <family val="2"/>
    </font>
    <font>
      <sz val="8"/>
      <color indexed="10"/>
      <name val="Arial"/>
      <family val="2"/>
    </font>
    <font>
      <sz val="10"/>
      <color indexed="10"/>
      <name val="Arial"/>
      <family val="2"/>
    </font>
    <font>
      <b/>
      <sz val="10"/>
      <color indexed="10"/>
      <name val="Arial"/>
      <family val="2"/>
    </font>
    <font>
      <sz val="8"/>
      <color indexed="81"/>
      <name val="Tahoma"/>
      <family val="2"/>
    </font>
    <font>
      <b/>
      <u/>
      <sz val="10"/>
      <name val="Arial"/>
      <family val="2"/>
    </font>
    <font>
      <sz val="10"/>
      <name val="Arial"/>
      <family val="2"/>
    </font>
    <font>
      <b/>
      <sz val="8"/>
      <color indexed="81"/>
      <name val="Tahoma"/>
      <family val="2"/>
    </font>
    <font>
      <b/>
      <sz val="29"/>
      <color indexed="17"/>
      <name val="Arial"/>
      <family val="2"/>
    </font>
    <font>
      <b/>
      <sz val="29"/>
      <name val="Arial"/>
      <family val="2"/>
    </font>
    <font>
      <b/>
      <sz val="29"/>
      <color indexed="12"/>
      <name val="Arial"/>
      <family val="2"/>
    </font>
    <font>
      <sz val="8"/>
      <name val="Arial"/>
      <family val="2"/>
    </font>
    <font>
      <u/>
      <sz val="10"/>
      <color indexed="12"/>
      <name val="Arial"/>
      <family val="2"/>
    </font>
    <font>
      <b/>
      <sz val="10"/>
      <color indexed="21"/>
      <name val="Arial"/>
      <family val="2"/>
    </font>
    <font>
      <sz val="10"/>
      <color indexed="21"/>
      <name val="Arial"/>
      <family val="2"/>
    </font>
    <font>
      <sz val="10"/>
      <color indexed="12"/>
      <name val="Arial"/>
      <family val="2"/>
    </font>
    <font>
      <u/>
      <sz val="8"/>
      <name val="Arial"/>
      <family val="2"/>
    </font>
    <font>
      <b/>
      <sz val="12"/>
      <color indexed="12"/>
      <name val="Arial"/>
      <family val="2"/>
    </font>
    <font>
      <b/>
      <sz val="12"/>
      <name val="Arial"/>
      <family val="2"/>
    </font>
    <font>
      <u/>
      <sz val="12"/>
      <color indexed="12"/>
      <name val="Arial"/>
      <family val="2"/>
    </font>
    <font>
      <sz val="10"/>
      <color indexed="8"/>
      <name val="Arial"/>
      <family val="2"/>
    </font>
    <font>
      <b/>
      <sz val="10"/>
      <color indexed="53"/>
      <name val="Arial"/>
      <family val="2"/>
    </font>
    <font>
      <i/>
      <sz val="9"/>
      <name val="Arial"/>
      <family val="2"/>
    </font>
    <font>
      <b/>
      <i/>
      <sz val="14"/>
      <color indexed="8"/>
      <name val="Arial"/>
      <family val="2"/>
    </font>
    <font>
      <sz val="11"/>
      <color indexed="8"/>
      <name val="Arial"/>
      <family val="2"/>
    </font>
    <font>
      <b/>
      <sz val="11"/>
      <color indexed="10"/>
      <name val="Arial"/>
      <family val="2"/>
    </font>
    <font>
      <b/>
      <i/>
      <sz val="14"/>
      <name val="Arial"/>
      <family val="2"/>
    </font>
    <font>
      <b/>
      <sz val="14"/>
      <name val="Arial"/>
      <family val="2"/>
    </font>
    <font>
      <b/>
      <i/>
      <sz val="15"/>
      <color indexed="8"/>
      <name val="Arial"/>
      <family val="2"/>
    </font>
    <font>
      <b/>
      <i/>
      <sz val="15"/>
      <name val="Arial"/>
      <family val="2"/>
    </font>
    <font>
      <b/>
      <sz val="11"/>
      <name val="Arial"/>
      <family val="2"/>
    </font>
    <font>
      <b/>
      <sz val="14"/>
      <color rgb="FFFF0000"/>
      <name val="Arial"/>
    </font>
    <font>
      <b/>
      <sz val="29"/>
      <color rgb="FF000090"/>
      <name val="Arial"/>
    </font>
    <font>
      <u/>
      <sz val="10"/>
      <color theme="11"/>
      <name val="Arial"/>
    </font>
    <font>
      <b/>
      <sz val="12"/>
      <name val="Calibri"/>
    </font>
    <font>
      <b/>
      <i/>
      <sz val="10"/>
      <name val="Arial"/>
    </font>
  </fonts>
  <fills count="12">
    <fill>
      <patternFill patternType="none"/>
    </fill>
    <fill>
      <patternFill patternType="gray125"/>
    </fill>
    <fill>
      <patternFill patternType="solid">
        <fgColor indexed="65"/>
        <bgColor indexed="64"/>
      </patternFill>
    </fill>
    <fill>
      <patternFill patternType="solid">
        <fgColor indexed="42"/>
        <bgColor indexed="64"/>
      </patternFill>
    </fill>
    <fill>
      <patternFill patternType="solid">
        <fgColor indexed="43"/>
        <bgColor indexed="64"/>
      </patternFill>
    </fill>
    <fill>
      <patternFill patternType="solid">
        <fgColor indexed="47"/>
        <bgColor indexed="64"/>
      </patternFill>
    </fill>
    <fill>
      <patternFill patternType="solid">
        <fgColor indexed="9"/>
        <bgColor indexed="64"/>
      </patternFill>
    </fill>
    <fill>
      <patternFill patternType="solid">
        <fgColor indexed="41"/>
        <bgColor indexed="64"/>
      </patternFill>
    </fill>
    <fill>
      <patternFill patternType="solid">
        <fgColor indexed="13"/>
        <bgColor indexed="64"/>
      </patternFill>
    </fill>
    <fill>
      <patternFill patternType="solid">
        <fgColor indexed="26"/>
        <bgColor indexed="64"/>
      </patternFill>
    </fill>
    <fill>
      <patternFill patternType="solid">
        <fgColor rgb="FFD5D1B5"/>
        <bgColor indexed="64"/>
      </patternFill>
    </fill>
    <fill>
      <patternFill patternType="solid">
        <fgColor theme="9" tint="0.79998168889431442"/>
        <bgColor indexed="64"/>
      </patternFill>
    </fill>
  </fills>
  <borders count="12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diagonal/>
    </border>
    <border>
      <left style="thin">
        <color auto="1"/>
      </left>
      <right style="medium">
        <color auto="1"/>
      </right>
      <top style="medium">
        <color auto="1"/>
      </top>
      <bottom style="thin">
        <color auto="1"/>
      </bottom>
      <diagonal/>
    </border>
    <border>
      <left style="medium">
        <color auto="1"/>
      </left>
      <right/>
      <top/>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medium">
        <color auto="1"/>
      </right>
      <top style="medium">
        <color auto="1"/>
      </top>
      <bottom/>
      <diagonal/>
    </border>
    <border>
      <left/>
      <right style="medium">
        <color auto="1"/>
      </right>
      <top/>
      <bottom/>
      <diagonal/>
    </border>
    <border>
      <left/>
      <right/>
      <top style="medium">
        <color auto="1"/>
      </top>
      <bottom/>
      <diagonal/>
    </border>
    <border>
      <left/>
      <right style="medium">
        <color auto="1"/>
      </right>
      <top/>
      <bottom style="medium">
        <color auto="1"/>
      </bottom>
      <diagonal/>
    </border>
    <border>
      <left style="medium">
        <color auto="1"/>
      </left>
      <right style="medium">
        <color auto="1"/>
      </right>
      <top/>
      <bottom style="medium">
        <color auto="1"/>
      </bottom>
      <diagonal/>
    </border>
    <border>
      <left/>
      <right/>
      <top style="double">
        <color auto="1"/>
      </top>
      <bottom/>
      <diagonal/>
    </border>
    <border>
      <left/>
      <right/>
      <top/>
      <bottom style="double">
        <color auto="1"/>
      </bottom>
      <diagonal/>
    </border>
    <border>
      <left style="thin">
        <color auto="1"/>
      </left>
      <right style="thin">
        <color auto="1"/>
      </right>
      <top/>
      <bottom style="double">
        <color auto="1"/>
      </bottom>
      <diagonal/>
    </border>
    <border>
      <left/>
      <right style="thin">
        <color auto="1"/>
      </right>
      <top/>
      <bottom style="double">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thin">
        <color auto="1"/>
      </top>
      <bottom style="double">
        <color auto="1"/>
      </bottom>
      <diagonal/>
    </border>
    <border>
      <left/>
      <right style="double">
        <color auto="1"/>
      </right>
      <top style="double">
        <color auto="1"/>
      </top>
      <bottom/>
      <diagonal/>
    </border>
    <border>
      <left/>
      <right style="double">
        <color auto="1"/>
      </right>
      <top/>
      <bottom/>
      <diagonal/>
    </border>
    <border>
      <left/>
      <right style="double">
        <color auto="1"/>
      </right>
      <top/>
      <bottom style="double">
        <color auto="1"/>
      </bottom>
      <diagonal/>
    </border>
    <border>
      <left/>
      <right style="double">
        <color auto="1"/>
      </right>
      <top/>
      <bottom style="thin">
        <color auto="1"/>
      </bottom>
      <diagonal/>
    </border>
    <border>
      <left style="thin">
        <color auto="1"/>
      </left>
      <right style="thin">
        <color auto="1"/>
      </right>
      <top style="thin">
        <color auto="1"/>
      </top>
      <bottom style="medium">
        <color auto="1"/>
      </bottom>
      <diagonal/>
    </border>
    <border>
      <left style="double">
        <color auto="1"/>
      </left>
      <right/>
      <top/>
      <bottom/>
      <diagonal/>
    </border>
    <border>
      <left style="thin">
        <color auto="1"/>
      </left>
      <right/>
      <top style="thin">
        <color auto="1"/>
      </top>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style="medium">
        <color auto="1"/>
      </left>
      <right style="thin">
        <color auto="1"/>
      </right>
      <top style="medium">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double">
        <color auto="1"/>
      </left>
      <right/>
      <top style="double">
        <color auto="1"/>
      </top>
      <bottom/>
      <diagonal/>
    </border>
    <border>
      <left style="double">
        <color auto="1"/>
      </left>
      <right/>
      <top/>
      <bottom style="double">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top style="thin">
        <color auto="1"/>
      </top>
      <bottom style="medium">
        <color auto="1"/>
      </bottom>
      <diagonal/>
    </border>
    <border>
      <left style="thin">
        <color auto="1"/>
      </left>
      <right style="medium">
        <color auto="1"/>
      </right>
      <top/>
      <bottom style="thin">
        <color auto="1"/>
      </bottom>
      <diagonal/>
    </border>
    <border>
      <left style="medium">
        <color auto="1"/>
      </left>
      <right/>
      <top style="medium">
        <color auto="1"/>
      </top>
      <bottom style="thin">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double">
        <color auto="1"/>
      </top>
      <bottom style="thin">
        <color auto="1"/>
      </bottom>
      <diagonal/>
    </border>
    <border>
      <left/>
      <right/>
      <top style="thin">
        <color auto="1"/>
      </top>
      <bottom style="double">
        <color auto="1"/>
      </bottom>
      <diagonal/>
    </border>
    <border>
      <left style="hair">
        <color indexed="17"/>
      </left>
      <right/>
      <top style="hair">
        <color indexed="17"/>
      </top>
      <bottom/>
      <diagonal/>
    </border>
    <border>
      <left style="thin">
        <color auto="1"/>
      </left>
      <right style="medium">
        <color auto="1"/>
      </right>
      <top style="thin">
        <color auto="1"/>
      </top>
      <bottom/>
      <diagonal/>
    </border>
    <border>
      <left style="thin">
        <color auto="1"/>
      </left>
      <right/>
      <top style="thin">
        <color auto="1"/>
      </top>
      <bottom style="double">
        <color auto="1"/>
      </bottom>
      <diagonal/>
    </border>
    <border>
      <left/>
      <right style="thin">
        <color auto="1"/>
      </right>
      <top/>
      <bottom style="medium">
        <color auto="1"/>
      </bottom>
      <diagonal/>
    </border>
    <border>
      <left style="medium">
        <color auto="1"/>
      </left>
      <right style="medium">
        <color auto="1"/>
      </right>
      <top style="thin">
        <color auto="1"/>
      </top>
      <bottom/>
      <diagonal/>
    </border>
    <border>
      <left/>
      <right style="medium">
        <color auto="1"/>
      </right>
      <top style="thin">
        <color auto="1"/>
      </top>
      <bottom style="medium">
        <color auto="1"/>
      </bottom>
      <diagonal/>
    </border>
    <border>
      <left/>
      <right style="thin">
        <color auto="1"/>
      </right>
      <top style="medium">
        <color auto="1"/>
      </top>
      <bottom style="medium">
        <color auto="1"/>
      </bottom>
      <diagonal/>
    </border>
    <border>
      <left/>
      <right style="medium">
        <color auto="1"/>
      </right>
      <top style="thin">
        <color auto="1"/>
      </top>
      <bottom style="thin">
        <color auto="1"/>
      </bottom>
      <diagonal/>
    </border>
    <border>
      <left style="medium">
        <color auto="1"/>
      </left>
      <right/>
      <top/>
      <bottom style="thin">
        <color auto="1"/>
      </bottom>
      <diagonal/>
    </border>
    <border>
      <left style="thin">
        <color auto="1"/>
      </left>
      <right style="thin">
        <color auto="1"/>
      </right>
      <top style="thin">
        <color auto="1"/>
      </top>
      <bottom style="double">
        <color auto="1"/>
      </bottom>
      <diagonal/>
    </border>
    <border>
      <left style="thin">
        <color auto="1"/>
      </left>
      <right/>
      <top style="medium">
        <color auto="1"/>
      </top>
      <bottom style="medium">
        <color auto="1"/>
      </bottom>
      <diagonal/>
    </border>
    <border>
      <left style="medium">
        <color auto="1"/>
      </left>
      <right style="medium">
        <color auto="1"/>
      </right>
      <top style="medium">
        <color auto="1"/>
      </top>
      <bottom style="double">
        <color auto="1"/>
      </bottom>
      <diagonal/>
    </border>
    <border>
      <left style="medium">
        <color auto="1"/>
      </left>
      <right/>
      <top style="medium">
        <color auto="1"/>
      </top>
      <bottom style="double">
        <color auto="1"/>
      </bottom>
      <diagonal/>
    </border>
    <border>
      <left/>
      <right style="medium">
        <color auto="1"/>
      </right>
      <top style="medium">
        <color auto="1"/>
      </top>
      <bottom style="double">
        <color auto="1"/>
      </bottom>
      <diagonal/>
    </border>
    <border>
      <left/>
      <right/>
      <top style="medium">
        <color auto="1"/>
      </top>
      <bottom style="double">
        <color auto="1"/>
      </bottom>
      <diagonal/>
    </border>
    <border>
      <left/>
      <right/>
      <top style="hair">
        <color indexed="17"/>
      </top>
      <bottom/>
      <diagonal/>
    </border>
    <border>
      <left/>
      <right style="hair">
        <color indexed="17"/>
      </right>
      <top style="hair">
        <color indexed="17"/>
      </top>
      <bottom/>
      <diagonal/>
    </border>
    <border>
      <left style="hair">
        <color indexed="17"/>
      </left>
      <right/>
      <top/>
      <bottom/>
      <diagonal/>
    </border>
    <border>
      <left/>
      <right style="hair">
        <color indexed="17"/>
      </right>
      <top/>
      <bottom/>
      <diagonal/>
    </border>
    <border>
      <left style="hair">
        <color indexed="17"/>
      </left>
      <right/>
      <top/>
      <bottom style="hair">
        <color indexed="17"/>
      </bottom>
      <diagonal/>
    </border>
    <border>
      <left/>
      <right/>
      <top/>
      <bottom style="hair">
        <color indexed="17"/>
      </bottom>
      <diagonal/>
    </border>
    <border>
      <left/>
      <right style="hair">
        <color indexed="17"/>
      </right>
      <top/>
      <bottom style="hair">
        <color indexed="17"/>
      </bottom>
      <diagonal/>
    </border>
    <border>
      <left style="hair">
        <color indexed="17"/>
      </left>
      <right/>
      <top style="hair">
        <color indexed="17"/>
      </top>
      <bottom style="hair">
        <color indexed="17"/>
      </bottom>
      <diagonal/>
    </border>
    <border>
      <left/>
      <right/>
      <top style="hair">
        <color indexed="17"/>
      </top>
      <bottom style="hair">
        <color indexed="17"/>
      </bottom>
      <diagonal/>
    </border>
    <border>
      <left/>
      <right style="hair">
        <color indexed="17"/>
      </right>
      <top style="hair">
        <color indexed="17"/>
      </top>
      <bottom style="hair">
        <color indexed="17"/>
      </bottom>
      <diagonal/>
    </border>
    <border>
      <left style="double">
        <color auto="1"/>
      </left>
      <right style="double">
        <color auto="1"/>
      </right>
      <top style="double">
        <color auto="1"/>
      </top>
      <bottom style="thick">
        <color auto="1"/>
      </bottom>
      <diagonal/>
    </border>
    <border>
      <left/>
      <right style="medium">
        <color auto="1"/>
      </right>
      <top/>
      <bottom style="thick">
        <color auto="1"/>
      </bottom>
      <diagonal/>
    </border>
    <border>
      <left style="medium">
        <color auto="1"/>
      </left>
      <right style="double">
        <color auto="1"/>
      </right>
      <top/>
      <bottom style="thick">
        <color auto="1"/>
      </bottom>
      <diagonal/>
    </border>
    <border>
      <left/>
      <right style="double">
        <color auto="1"/>
      </right>
      <top/>
      <bottom style="thick">
        <color auto="1"/>
      </bottom>
      <diagonal/>
    </border>
    <border>
      <left style="double">
        <color auto="1"/>
      </left>
      <right style="double">
        <color auto="1"/>
      </right>
      <top/>
      <bottom style="thin">
        <color auto="1"/>
      </bottom>
      <diagonal/>
    </border>
    <border>
      <left/>
      <right style="medium">
        <color auto="1"/>
      </right>
      <top/>
      <bottom style="thin">
        <color auto="1"/>
      </bottom>
      <diagonal/>
    </border>
    <border>
      <left style="medium">
        <color auto="1"/>
      </left>
      <right style="double">
        <color auto="1"/>
      </right>
      <top/>
      <bottom style="thin">
        <color auto="1"/>
      </bottom>
      <diagonal/>
    </border>
    <border>
      <left style="double">
        <color auto="1"/>
      </left>
      <right style="double">
        <color auto="1"/>
      </right>
      <top/>
      <bottom style="thick">
        <color auto="1"/>
      </bottom>
      <diagonal/>
    </border>
    <border>
      <left style="double">
        <color auto="1"/>
      </left>
      <right style="double">
        <color auto="1"/>
      </right>
      <top style="thin">
        <color auto="1"/>
      </top>
      <bottom style="thin">
        <color auto="1"/>
      </bottom>
      <diagonal/>
    </border>
    <border>
      <left style="medium">
        <color auto="1"/>
      </left>
      <right style="double">
        <color auto="1"/>
      </right>
      <top style="thin">
        <color auto="1"/>
      </top>
      <bottom style="thin">
        <color auto="1"/>
      </bottom>
      <diagonal/>
    </border>
    <border>
      <left/>
      <right style="double">
        <color auto="1"/>
      </right>
      <top style="thin">
        <color auto="1"/>
      </top>
      <bottom style="thin">
        <color auto="1"/>
      </bottom>
      <diagonal/>
    </border>
    <border>
      <left style="double">
        <color auto="1"/>
      </left>
      <right style="double">
        <color auto="1"/>
      </right>
      <top/>
      <bottom style="double">
        <color auto="1"/>
      </bottom>
      <diagonal/>
    </border>
    <border>
      <left/>
      <right style="medium">
        <color auto="1"/>
      </right>
      <top/>
      <bottom style="double">
        <color auto="1"/>
      </bottom>
      <diagonal/>
    </border>
    <border>
      <left style="medium">
        <color auto="1"/>
      </left>
      <right style="double">
        <color auto="1"/>
      </right>
      <top/>
      <bottom style="double">
        <color auto="1"/>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style="thin">
        <color auto="1"/>
      </left>
      <right style="medium">
        <color auto="1"/>
      </right>
      <top/>
      <bottom/>
      <diagonal/>
    </border>
    <border>
      <left style="thin">
        <color auto="1"/>
      </left>
      <right/>
      <top style="medium">
        <color auto="1"/>
      </top>
      <bottom/>
      <diagonal/>
    </border>
    <border>
      <left/>
      <right style="thin">
        <color auto="1"/>
      </right>
      <top style="medium">
        <color auto="1"/>
      </top>
      <bottom/>
      <diagonal/>
    </border>
    <border>
      <left style="medium">
        <color auto="1"/>
      </left>
      <right style="thin">
        <color auto="1"/>
      </right>
      <top style="thin">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thin">
        <color auto="1"/>
      </top>
      <bottom/>
      <diagonal/>
    </border>
  </borders>
  <cellStyleXfs count="18">
    <xf numFmtId="0" fontId="0" fillId="0" borderId="0"/>
    <xf numFmtId="43" fontId="1" fillId="0" borderId="0" applyFont="0" applyFill="0" applyBorder="0" applyAlignment="0" applyProtection="0"/>
    <xf numFmtId="0" fontId="18" fillId="0" borderId="0" applyNumberFormat="0" applyFill="0" applyBorder="0" applyAlignment="0" applyProtection="0">
      <alignment vertical="top"/>
      <protection locked="0"/>
    </xf>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cellStyleXfs>
  <cellXfs count="690">
    <xf numFmtId="0" fontId="0" fillId="0" borderId="0" xfId="0"/>
    <xf numFmtId="0" fontId="0" fillId="0" borderId="0" xfId="0" applyAlignment="1">
      <alignment horizontal="left"/>
    </xf>
    <xf numFmtId="0" fontId="0" fillId="0" borderId="1" xfId="0" applyBorder="1"/>
    <xf numFmtId="0" fontId="0" fillId="0" borderId="2" xfId="0" applyBorder="1"/>
    <xf numFmtId="0" fontId="0" fillId="0" borderId="3" xfId="0" applyBorder="1" applyAlignment="1">
      <alignment horizontal="centerContinuous"/>
    </xf>
    <xf numFmtId="0" fontId="0" fillId="0" borderId="4" xfId="0" applyBorder="1" applyAlignment="1">
      <alignment horizontal="centerContinuous"/>
    </xf>
    <xf numFmtId="0" fontId="0" fillId="0" borderId="5" xfId="0" applyBorder="1" applyAlignment="1">
      <alignment horizontal="centerContinuous"/>
    </xf>
    <xf numFmtId="0" fontId="0" fillId="0" borderId="6" xfId="0" applyBorder="1"/>
    <xf numFmtId="0" fontId="0" fillId="0" borderId="7" xfId="0" applyBorder="1"/>
    <xf numFmtId="0" fontId="0" fillId="0" borderId="6" xfId="0" applyBorder="1" applyAlignment="1">
      <alignment horizontal="center"/>
    </xf>
    <xf numFmtId="0" fontId="0" fillId="0" borderId="8" xfId="0" applyBorder="1" applyAlignment="1">
      <alignment horizontal="centerContinuous"/>
    </xf>
    <xf numFmtId="0" fontId="0" fillId="0" borderId="9" xfId="0" applyBorder="1" applyAlignment="1">
      <alignment horizontal="centerContinuous"/>
    </xf>
    <xf numFmtId="0" fontId="0" fillId="0" borderId="10" xfId="0" applyBorder="1"/>
    <xf numFmtId="0" fontId="2" fillId="0" borderId="1" xfId="0" applyFont="1" applyBorder="1" applyAlignment="1">
      <alignment horizontal="centerContinuous"/>
    </xf>
    <xf numFmtId="0" fontId="2" fillId="0" borderId="1" xfId="0" applyFont="1" applyBorder="1" applyAlignment="1">
      <alignment horizontal="center"/>
    </xf>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applyAlignment="1">
      <alignment horizontal="center"/>
    </xf>
    <xf numFmtId="0" fontId="0" fillId="0" borderId="18" xfId="0" applyBorder="1"/>
    <xf numFmtId="0" fontId="0" fillId="0" borderId="19" xfId="0" applyBorder="1"/>
    <xf numFmtId="0" fontId="0" fillId="0" borderId="20" xfId="0" applyBorder="1"/>
    <xf numFmtId="0" fontId="0" fillId="0" borderId="16" xfId="0" applyBorder="1" applyAlignment="1">
      <alignment horizontal="center"/>
    </xf>
    <xf numFmtId="0" fontId="0" fillId="0" borderId="11" xfId="0" applyBorder="1" applyAlignment="1">
      <alignment horizontal="center"/>
    </xf>
    <xf numFmtId="0" fontId="0" fillId="0" borderId="21" xfId="0" applyBorder="1" applyAlignment="1">
      <alignment horizontal="center"/>
    </xf>
    <xf numFmtId="0" fontId="0" fillId="0" borderId="13"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0" xfId="0" applyBorder="1" applyAlignment="1">
      <alignment horizontal="center"/>
    </xf>
    <xf numFmtId="0" fontId="0" fillId="0" borderId="15"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0" xfId="0" applyBorder="1"/>
    <xf numFmtId="0" fontId="0" fillId="0" borderId="26" xfId="0" applyBorder="1"/>
    <xf numFmtId="0" fontId="0" fillId="0" borderId="27" xfId="0" applyBorder="1"/>
    <xf numFmtId="3" fontId="0" fillId="0" borderId="1" xfId="0" applyNumberFormat="1" applyBorder="1"/>
    <xf numFmtId="3" fontId="0" fillId="0" borderId="4" xfId="0" applyNumberFormat="1" applyBorder="1"/>
    <xf numFmtId="3" fontId="0" fillId="0" borderId="28" xfId="0" applyNumberFormat="1" applyBorder="1"/>
    <xf numFmtId="3" fontId="0" fillId="0" borderId="29" xfId="0" applyNumberFormat="1" applyBorder="1"/>
    <xf numFmtId="0" fontId="3" fillId="0" borderId="30" xfId="0" applyFont="1" applyBorder="1"/>
    <xf numFmtId="0" fontId="0" fillId="0" borderId="30" xfId="0" applyBorder="1" applyAlignment="1">
      <alignment horizontal="centerContinuous"/>
    </xf>
    <xf numFmtId="0" fontId="0" fillId="0" borderId="31" xfId="0" applyBorder="1" applyAlignment="1">
      <alignment horizontal="centerContinuous"/>
    </xf>
    <xf numFmtId="0" fontId="0" fillId="0" borderId="32" xfId="0" applyBorder="1" applyAlignment="1">
      <alignment horizontal="centerContinuous"/>
    </xf>
    <xf numFmtId="0" fontId="3" fillId="0" borderId="0" xfId="0" applyFont="1"/>
    <xf numFmtId="0" fontId="0" fillId="0" borderId="0" xfId="0" applyAlignment="1">
      <alignment horizontal="center"/>
    </xf>
    <xf numFmtId="3" fontId="0" fillId="0" borderId="33" xfId="0" applyNumberFormat="1" applyBorder="1"/>
    <xf numFmtId="3" fontId="0" fillId="0" borderId="0" xfId="0" applyNumberFormat="1" applyBorder="1"/>
    <xf numFmtId="0" fontId="0" fillId="0" borderId="34" xfId="0" applyBorder="1"/>
    <xf numFmtId="0" fontId="0" fillId="0" borderId="35" xfId="0" applyBorder="1"/>
    <xf numFmtId="0" fontId="0" fillId="0" borderId="36" xfId="0" applyBorder="1"/>
    <xf numFmtId="0" fontId="2" fillId="0" borderId="0" xfId="0" applyFont="1" applyBorder="1"/>
    <xf numFmtId="3" fontId="0" fillId="0" borderId="0" xfId="0" applyNumberFormat="1"/>
    <xf numFmtId="0" fontId="2" fillId="0" borderId="0" xfId="0" applyFont="1" applyAlignment="1">
      <alignment horizontal="centerContinuous"/>
    </xf>
    <xf numFmtId="0" fontId="0" fillId="0" borderId="0" xfId="0" applyBorder="1" applyAlignment="1">
      <alignment horizontal="left"/>
    </xf>
    <xf numFmtId="0" fontId="2" fillId="0" borderId="4" xfId="0" applyFont="1" applyBorder="1" applyAlignment="1">
      <alignment horizontal="center"/>
    </xf>
    <xf numFmtId="0" fontId="2" fillId="0" borderId="37" xfId="0" applyFont="1" applyBorder="1" applyAlignment="1">
      <alignment horizontal="center"/>
    </xf>
    <xf numFmtId="0" fontId="2" fillId="0" borderId="38" xfId="0" applyFont="1" applyBorder="1" applyAlignment="1">
      <alignment horizontal="centerContinuous"/>
    </xf>
    <xf numFmtId="0" fontId="2" fillId="0" borderId="10" xfId="0" applyFont="1" applyBorder="1" applyAlignment="1">
      <alignment horizontal="centerContinuous"/>
    </xf>
    <xf numFmtId="0" fontId="0" fillId="0" borderId="27" xfId="0" applyBorder="1" applyAlignment="1">
      <alignment horizontal="left"/>
    </xf>
    <xf numFmtId="0" fontId="0" fillId="0" borderId="3" xfId="0" applyBorder="1"/>
    <xf numFmtId="0" fontId="0" fillId="0" borderId="4" xfId="0" applyBorder="1"/>
    <xf numFmtId="0" fontId="0" fillId="0" borderId="39" xfId="0" applyBorder="1" applyAlignment="1">
      <alignment horizontal="center"/>
    </xf>
    <xf numFmtId="164" fontId="0" fillId="0" borderId="1" xfId="0" applyNumberFormat="1" applyBorder="1" applyAlignment="1">
      <alignment horizontal="center"/>
    </xf>
    <xf numFmtId="164" fontId="0" fillId="0" borderId="14" xfId="0" applyNumberFormat="1" applyBorder="1" applyAlignment="1">
      <alignment horizontal="center"/>
    </xf>
    <xf numFmtId="164" fontId="2" fillId="0" borderId="1" xfId="0" applyNumberFormat="1" applyFont="1" applyBorder="1"/>
    <xf numFmtId="164" fontId="0" fillId="2" borderId="4" xfId="0" applyNumberFormat="1" applyFill="1" applyBorder="1"/>
    <xf numFmtId="164" fontId="0" fillId="0" borderId="1" xfId="0" applyNumberFormat="1" applyBorder="1"/>
    <xf numFmtId="164" fontId="0" fillId="2" borderId="1" xfId="0" applyNumberFormat="1" applyFill="1" applyBorder="1"/>
    <xf numFmtId="164" fontId="0" fillId="0" borderId="0" xfId="0" applyNumberFormat="1"/>
    <xf numFmtId="164" fontId="2" fillId="0" borderId="0" xfId="0" applyNumberFormat="1" applyFont="1" applyBorder="1" applyAlignment="1">
      <alignment horizontal="left"/>
    </xf>
    <xf numFmtId="0" fontId="4" fillId="0" borderId="0" xfId="0" applyFont="1" applyBorder="1"/>
    <xf numFmtId="0" fontId="0" fillId="0" borderId="40" xfId="0" applyBorder="1" applyAlignment="1">
      <alignment horizontal="left"/>
    </xf>
    <xf numFmtId="0" fontId="0" fillId="0" borderId="41" xfId="0" applyBorder="1" applyAlignment="1">
      <alignment horizontal="left"/>
    </xf>
    <xf numFmtId="0" fontId="0" fillId="0" borderId="41" xfId="0" applyBorder="1"/>
    <xf numFmtId="0" fontId="0" fillId="0" borderId="42" xfId="0" applyBorder="1" applyAlignment="1">
      <alignment horizontal="left"/>
    </xf>
    <xf numFmtId="0" fontId="0" fillId="0" borderId="43" xfId="0" applyBorder="1" applyAlignment="1">
      <alignment horizontal="left"/>
    </xf>
    <xf numFmtId="0" fontId="0" fillId="0" borderId="43" xfId="0" applyBorder="1"/>
    <xf numFmtId="0" fontId="2" fillId="0" borderId="35" xfId="0" applyFont="1" applyBorder="1" applyAlignment="1">
      <alignment horizontal="center"/>
    </xf>
    <xf numFmtId="0" fontId="0" fillId="0" borderId="44" xfId="0" applyBorder="1"/>
    <xf numFmtId="0" fontId="0" fillId="0" borderId="45" xfId="0" applyBorder="1"/>
    <xf numFmtId="0" fontId="0" fillId="0" borderId="46" xfId="0" applyBorder="1"/>
    <xf numFmtId="3" fontId="0" fillId="0" borderId="42" xfId="0" applyNumberFormat="1" applyBorder="1"/>
    <xf numFmtId="0" fontId="0" fillId="0" borderId="41" xfId="0" applyBorder="1" applyAlignment="1">
      <alignment horizontal="centerContinuous"/>
    </xf>
    <xf numFmtId="0" fontId="0" fillId="0" borderId="0" xfId="0" applyBorder="1" applyAlignment="1">
      <alignment horizontal="centerContinuous"/>
    </xf>
    <xf numFmtId="0" fontId="0" fillId="0" borderId="43" xfId="0" applyBorder="1" applyAlignment="1">
      <alignment horizontal="centerContinuous"/>
    </xf>
    <xf numFmtId="3" fontId="0" fillId="0" borderId="0" xfId="0" applyNumberFormat="1" applyBorder="1" applyAlignment="1">
      <alignment horizontal="center"/>
    </xf>
    <xf numFmtId="0" fontId="0" fillId="0" borderId="42" xfId="0" applyBorder="1"/>
    <xf numFmtId="0" fontId="0" fillId="0" borderId="44" xfId="0" applyBorder="1" applyAlignment="1">
      <alignment horizontal="center"/>
    </xf>
    <xf numFmtId="164" fontId="0" fillId="0" borderId="45" xfId="0" applyNumberFormat="1" applyBorder="1" applyAlignment="1">
      <alignment horizontal="center"/>
    </xf>
    <xf numFmtId="0" fontId="0" fillId="0" borderId="45" xfId="0" applyBorder="1" applyAlignment="1">
      <alignment horizontal="center"/>
    </xf>
    <xf numFmtId="0" fontId="0" fillId="0" borderId="45" xfId="0" applyBorder="1" applyAlignment="1">
      <alignment horizontal="centerContinuous"/>
    </xf>
    <xf numFmtId="0" fontId="0" fillId="0" borderId="46" xfId="0" applyBorder="1" applyAlignment="1">
      <alignment horizontal="center"/>
    </xf>
    <xf numFmtId="10" fontId="0" fillId="0" borderId="41" xfId="0" applyNumberFormat="1" applyBorder="1"/>
    <xf numFmtId="0" fontId="5" fillId="0" borderId="41" xfId="0" applyFont="1" applyBorder="1"/>
    <xf numFmtId="0" fontId="5" fillId="0" borderId="47" xfId="0" applyFont="1" applyBorder="1"/>
    <xf numFmtId="2" fontId="0" fillId="0" borderId="46" xfId="0" applyNumberFormat="1" applyBorder="1"/>
    <xf numFmtId="3" fontId="0" fillId="0" borderId="43" xfId="0" applyNumberFormat="1" applyBorder="1"/>
    <xf numFmtId="3" fontId="0" fillId="0" borderId="45" xfId="0" applyNumberFormat="1" applyBorder="1"/>
    <xf numFmtId="3" fontId="0" fillId="0" borderId="46" xfId="0" applyNumberFormat="1" applyBorder="1"/>
    <xf numFmtId="0" fontId="6" fillId="0" borderId="0" xfId="0" applyFont="1" applyBorder="1"/>
    <xf numFmtId="0" fontId="6" fillId="0" borderId="43" xfId="0" applyFont="1" applyBorder="1"/>
    <xf numFmtId="0" fontId="6" fillId="0" borderId="46" xfId="0" applyFont="1" applyBorder="1" applyAlignment="1">
      <alignment horizontal="center"/>
    </xf>
    <xf numFmtId="3" fontId="2" fillId="0" borderId="46" xfId="0" applyNumberFormat="1" applyFont="1" applyBorder="1"/>
    <xf numFmtId="164" fontId="0" fillId="0" borderId="2" xfId="0" applyNumberFormat="1" applyBorder="1"/>
    <xf numFmtId="164" fontId="0" fillId="0" borderId="6" xfId="0" applyNumberFormat="1" applyBorder="1"/>
    <xf numFmtId="164" fontId="0" fillId="0" borderId="7" xfId="0" applyNumberFormat="1" applyBorder="1"/>
    <xf numFmtId="3" fontId="0" fillId="0" borderId="7" xfId="0" applyNumberFormat="1" applyBorder="1"/>
    <xf numFmtId="0" fontId="2" fillId="0" borderId="0" xfId="0" applyFont="1"/>
    <xf numFmtId="164" fontId="2" fillId="0" borderId="0" xfId="0" applyNumberFormat="1" applyFont="1" applyBorder="1" applyAlignment="1">
      <alignment horizontal="center"/>
    </xf>
    <xf numFmtId="1" fontId="0" fillId="0" borderId="46" xfId="0" applyNumberFormat="1" applyBorder="1" applyAlignment="1">
      <alignment horizontal="center"/>
    </xf>
    <xf numFmtId="164" fontId="0" fillId="0" borderId="2" xfId="0" applyNumberFormat="1" applyBorder="1" applyAlignment="1">
      <alignment horizontal="center"/>
    </xf>
    <xf numFmtId="164" fontId="0" fillId="0" borderId="6" xfId="0" applyNumberFormat="1" applyBorder="1" applyAlignment="1">
      <alignment horizontal="center"/>
    </xf>
    <xf numFmtId="164" fontId="0" fillId="0" borderId="7" xfId="0" applyNumberFormat="1" applyBorder="1" applyAlignment="1">
      <alignment horizontal="center"/>
    </xf>
    <xf numFmtId="166" fontId="0" fillId="0" borderId="47" xfId="1" applyNumberFormat="1" applyFont="1" applyBorder="1"/>
    <xf numFmtId="166" fontId="0" fillId="0" borderId="0" xfId="1" applyNumberFormat="1" applyFont="1" applyBorder="1"/>
    <xf numFmtId="166" fontId="0" fillId="0" borderId="45" xfId="1" applyNumberFormat="1" applyFont="1" applyBorder="1"/>
    <xf numFmtId="3" fontId="2" fillId="0" borderId="45" xfId="0" applyNumberFormat="1" applyFont="1" applyBorder="1"/>
    <xf numFmtId="0" fontId="6" fillId="0" borderId="45" xfId="0" quotePrefix="1" applyFont="1" applyBorder="1" applyAlignment="1">
      <alignment horizontal="center"/>
    </xf>
    <xf numFmtId="0" fontId="6" fillId="0" borderId="46" xfId="0" applyFont="1" applyBorder="1" applyAlignment="1">
      <alignment horizontal="right"/>
    </xf>
    <xf numFmtId="0" fontId="6" fillId="0" borderId="45" xfId="0" quotePrefix="1" applyFont="1" applyBorder="1" applyAlignment="1">
      <alignment horizontal="right"/>
    </xf>
    <xf numFmtId="0" fontId="6" fillId="0" borderId="41" xfId="0" applyFont="1" applyBorder="1" applyAlignment="1">
      <alignment horizontal="center"/>
    </xf>
    <xf numFmtId="0" fontId="6" fillId="0" borderId="44" xfId="0" applyFont="1" applyBorder="1" applyAlignment="1">
      <alignment horizontal="center"/>
    </xf>
    <xf numFmtId="0" fontId="2" fillId="0" borderId="7" xfId="0" applyFont="1" applyBorder="1"/>
    <xf numFmtId="165" fontId="2" fillId="0" borderId="7" xfId="0" applyNumberFormat="1" applyFont="1" applyBorder="1"/>
    <xf numFmtId="3" fontId="2" fillId="0" borderId="0" xfId="0" applyNumberFormat="1" applyFont="1"/>
    <xf numFmtId="4" fontId="2" fillId="0" borderId="43" xfId="0" applyNumberFormat="1" applyFont="1" applyBorder="1"/>
    <xf numFmtId="0" fontId="2" fillId="0" borderId="43" xfId="0" applyFont="1" applyBorder="1" applyAlignment="1">
      <alignment horizontal="center"/>
    </xf>
    <xf numFmtId="3" fontId="2" fillId="0" borderId="0" xfId="0" applyNumberFormat="1" applyFont="1" applyBorder="1"/>
    <xf numFmtId="43" fontId="0" fillId="0" borderId="0" xfId="1" applyFont="1" applyBorder="1"/>
    <xf numFmtId="0" fontId="2" fillId="0" borderId="0" xfId="0" applyFont="1" applyBorder="1" applyAlignment="1">
      <alignment horizontal="center"/>
    </xf>
    <xf numFmtId="0" fontId="2" fillId="0" borderId="0" xfId="0" applyFont="1" applyBorder="1" applyAlignment="1">
      <alignment horizontal="centerContinuous"/>
    </xf>
    <xf numFmtId="164" fontId="2" fillId="0" borderId="0" xfId="0" applyNumberFormat="1" applyFont="1" applyBorder="1"/>
    <xf numFmtId="164" fontId="0" fillId="0" borderId="0" xfId="0" applyNumberFormat="1" applyBorder="1"/>
    <xf numFmtId="0" fontId="0" fillId="0" borderId="0" xfId="0" applyBorder="1" applyAlignment="1">
      <alignment horizontal="right"/>
    </xf>
    <xf numFmtId="0" fontId="7" fillId="0" borderId="0" xfId="0" applyFont="1"/>
    <xf numFmtId="2" fontId="0" fillId="0" borderId="48" xfId="0" applyNumberFormat="1" applyBorder="1" applyAlignment="1">
      <alignment horizontal="right"/>
    </xf>
    <xf numFmtId="2" fontId="2" fillId="0" borderId="49" xfId="0" applyNumberFormat="1" applyFont="1" applyBorder="1" applyAlignment="1">
      <alignment horizontal="right"/>
    </xf>
    <xf numFmtId="2" fontId="2" fillId="0" borderId="50" xfId="0" applyNumberFormat="1" applyFont="1" applyBorder="1" applyAlignment="1">
      <alignment horizontal="right"/>
    </xf>
    <xf numFmtId="0" fontId="2" fillId="0" borderId="44" xfId="0" applyFont="1" applyBorder="1" applyAlignment="1">
      <alignment horizontal="centerContinuous"/>
    </xf>
    <xf numFmtId="0" fontId="0" fillId="0" borderId="37" xfId="0" applyBorder="1" applyAlignment="1">
      <alignment horizontal="centerContinuous"/>
    </xf>
    <xf numFmtId="164" fontId="9" fillId="0" borderId="0" xfId="0" applyNumberFormat="1" applyFont="1" applyBorder="1"/>
    <xf numFmtId="0" fontId="2" fillId="0" borderId="51" xfId="0" applyFont="1" applyBorder="1" applyAlignment="1">
      <alignment horizontal="centerContinuous"/>
    </xf>
    <xf numFmtId="0" fontId="0" fillId="0" borderId="52" xfId="0" applyBorder="1" applyAlignment="1">
      <alignment horizontal="centerContinuous"/>
    </xf>
    <xf numFmtId="164" fontId="0" fillId="0" borderId="0" xfId="0" applyNumberFormat="1" applyBorder="1" applyAlignment="1">
      <alignment horizontal="right"/>
    </xf>
    <xf numFmtId="0" fontId="2" fillId="0" borderId="8" xfId="0" applyFont="1" applyBorder="1" applyAlignment="1">
      <alignment horizontal="centerContinuous"/>
    </xf>
    <xf numFmtId="164" fontId="0" fillId="0" borderId="4" xfId="0" applyNumberFormat="1" applyBorder="1" applyAlignment="1">
      <alignment horizontal="center"/>
    </xf>
    <xf numFmtId="0" fontId="0" fillId="0" borderId="22" xfId="0" applyBorder="1" applyAlignment="1">
      <alignment horizontal="left"/>
    </xf>
    <xf numFmtId="0" fontId="2" fillId="0" borderId="53" xfId="0" applyFont="1" applyBorder="1"/>
    <xf numFmtId="0" fontId="2" fillId="0" borderId="54" xfId="0" applyFont="1" applyBorder="1"/>
    <xf numFmtId="0" fontId="0" fillId="0" borderId="55" xfId="0" applyBorder="1" applyAlignment="1">
      <alignment horizontal="center"/>
    </xf>
    <xf numFmtId="0" fontId="0" fillId="0" borderId="56" xfId="0" applyBorder="1" applyAlignment="1">
      <alignment horizontal="center"/>
    </xf>
    <xf numFmtId="167" fontId="0" fillId="0" borderId="0" xfId="0" applyNumberFormat="1" applyBorder="1"/>
    <xf numFmtId="164" fontId="9" fillId="0" borderId="57" xfId="0" applyNumberFormat="1" applyFont="1" applyBorder="1"/>
    <xf numFmtId="164" fontId="9" fillId="0" borderId="58" xfId="0" applyNumberFormat="1" applyFont="1" applyBorder="1"/>
    <xf numFmtId="0" fontId="2" fillId="0" borderId="50" xfId="0" applyFont="1" applyBorder="1"/>
    <xf numFmtId="2" fontId="0" fillId="0" borderId="0" xfId="0" applyNumberFormat="1"/>
    <xf numFmtId="0" fontId="2" fillId="0" borderId="0" xfId="0" applyFont="1" applyFill="1" applyBorder="1"/>
    <xf numFmtId="0" fontId="0" fillId="0" borderId="0" xfId="0" applyFill="1" applyBorder="1"/>
    <xf numFmtId="164" fontId="8" fillId="0" borderId="0" xfId="0" applyNumberFormat="1" applyFont="1" applyFill="1" applyBorder="1" applyAlignment="1">
      <alignment horizontal="left"/>
    </xf>
    <xf numFmtId="0" fontId="0" fillId="0" borderId="0" xfId="0" applyFill="1" applyBorder="1" applyAlignment="1">
      <alignment horizontal="left"/>
    </xf>
    <xf numFmtId="0" fontId="0" fillId="0" borderId="27" xfId="0" applyFill="1" applyBorder="1" applyAlignment="1">
      <alignment horizontal="left"/>
    </xf>
    <xf numFmtId="0" fontId="0" fillId="0" borderId="27" xfId="0" applyBorder="1" applyAlignment="1">
      <alignment horizontal="right"/>
    </xf>
    <xf numFmtId="165" fontId="0" fillId="0" borderId="0" xfId="0" applyNumberFormat="1" applyBorder="1"/>
    <xf numFmtId="0" fontId="2" fillId="0" borderId="48" xfId="0" applyFont="1" applyBorder="1" applyAlignment="1">
      <alignment horizontal="centerContinuous"/>
    </xf>
    <xf numFmtId="0" fontId="2" fillId="0" borderId="59" xfId="0" applyFont="1" applyBorder="1"/>
    <xf numFmtId="2" fontId="0" fillId="0" borderId="5" xfId="0" applyNumberFormat="1" applyFill="1" applyBorder="1"/>
    <xf numFmtId="0" fontId="0" fillId="0" borderId="18" xfId="0" applyBorder="1" applyAlignment="1">
      <alignment horizontal="center"/>
    </xf>
    <xf numFmtId="164" fontId="0" fillId="0" borderId="46" xfId="0" applyNumberFormat="1" applyBorder="1" applyAlignment="1">
      <alignment horizontal="center"/>
    </xf>
    <xf numFmtId="164" fontId="0" fillId="0" borderId="60" xfId="0" applyNumberFormat="1" applyBorder="1" applyAlignment="1">
      <alignment horizontal="center"/>
    </xf>
    <xf numFmtId="0" fontId="0" fillId="0" borderId="61" xfId="0" applyBorder="1" applyAlignment="1">
      <alignment horizontal="left"/>
    </xf>
    <xf numFmtId="0" fontId="0" fillId="0" borderId="8" xfId="0" applyBorder="1" applyAlignment="1">
      <alignment horizontal="left"/>
    </xf>
    <xf numFmtId="0" fontId="0" fillId="3" borderId="16" xfId="0" applyFill="1" applyBorder="1"/>
    <xf numFmtId="0" fontId="0" fillId="3" borderId="25" xfId="0" applyFill="1" applyBorder="1" applyAlignment="1">
      <alignment horizontal="center"/>
    </xf>
    <xf numFmtId="0" fontId="0" fillId="3" borderId="30" xfId="0" applyFill="1" applyBorder="1"/>
    <xf numFmtId="0" fontId="0" fillId="3" borderId="11" xfId="0" applyFill="1" applyBorder="1"/>
    <xf numFmtId="0" fontId="0" fillId="3" borderId="13" xfId="0" applyFill="1" applyBorder="1"/>
    <xf numFmtId="0" fontId="0" fillId="3" borderId="15" xfId="0" applyFill="1" applyBorder="1"/>
    <xf numFmtId="0" fontId="0" fillId="3" borderId="17" xfId="0" applyFill="1" applyBorder="1" applyAlignment="1">
      <alignment horizontal="center"/>
    </xf>
    <xf numFmtId="0" fontId="0" fillId="3" borderId="58" xfId="0" applyFill="1" applyBorder="1"/>
    <xf numFmtId="0" fontId="0" fillId="3" borderId="18" xfId="0" applyFill="1" applyBorder="1"/>
    <xf numFmtId="0" fontId="0" fillId="3" borderId="19" xfId="0" applyFill="1" applyBorder="1"/>
    <xf numFmtId="0" fontId="0" fillId="3" borderId="20" xfId="0" applyFill="1" applyBorder="1"/>
    <xf numFmtId="0" fontId="0" fillId="3" borderId="22" xfId="0" applyFill="1" applyBorder="1" applyAlignment="1">
      <alignment horizontal="center"/>
    </xf>
    <xf numFmtId="0" fontId="0" fillId="3" borderId="62" xfId="0" applyFill="1" applyBorder="1"/>
    <xf numFmtId="0" fontId="0" fillId="3" borderId="0" xfId="0" applyFill="1" applyBorder="1" applyAlignment="1">
      <alignment horizontal="center"/>
    </xf>
    <xf numFmtId="0" fontId="0" fillId="3" borderId="63" xfId="0" applyFill="1" applyBorder="1"/>
    <xf numFmtId="0" fontId="0" fillId="3" borderId="64" xfId="0" applyFill="1" applyBorder="1" applyAlignment="1">
      <alignment horizontal="center"/>
    </xf>
    <xf numFmtId="0" fontId="0" fillId="3" borderId="65" xfId="0" applyFill="1" applyBorder="1"/>
    <xf numFmtId="0" fontId="0" fillId="3" borderId="1" xfId="0" applyFill="1" applyBorder="1"/>
    <xf numFmtId="0" fontId="0" fillId="3" borderId="38" xfId="0" applyFill="1" applyBorder="1"/>
    <xf numFmtId="0" fontId="0" fillId="4" borderId="22" xfId="0" applyFill="1" applyBorder="1" applyAlignment="1">
      <alignment horizontal="center"/>
    </xf>
    <xf numFmtId="0" fontId="0" fillId="4" borderId="62" xfId="0" applyFill="1" applyBorder="1"/>
    <xf numFmtId="0" fontId="0" fillId="4" borderId="24" xfId="0" applyFill="1" applyBorder="1" applyAlignment="1">
      <alignment horizontal="center"/>
    </xf>
    <xf numFmtId="0" fontId="0" fillId="4" borderId="12" xfId="0" applyFill="1" applyBorder="1"/>
    <xf numFmtId="0" fontId="0" fillId="4" borderId="14" xfId="0" applyFill="1" applyBorder="1"/>
    <xf numFmtId="0" fontId="0" fillId="4" borderId="10" xfId="0" applyFill="1" applyBorder="1"/>
    <xf numFmtId="0" fontId="0" fillId="4" borderId="0" xfId="0" applyFill="1" applyAlignment="1">
      <alignment horizontal="center"/>
    </xf>
    <xf numFmtId="0" fontId="0" fillId="4" borderId="65" xfId="0" applyFill="1" applyBorder="1"/>
    <xf numFmtId="0" fontId="0" fillId="4" borderId="1" xfId="0" applyFill="1" applyBorder="1"/>
    <xf numFmtId="0" fontId="0" fillId="4" borderId="38" xfId="0" applyFill="1" applyBorder="1"/>
    <xf numFmtId="0" fontId="0" fillId="3" borderId="0" xfId="0" applyFill="1"/>
    <xf numFmtId="0" fontId="0" fillId="3" borderId="0" xfId="0" applyFill="1" applyAlignment="1">
      <alignment horizontal="center"/>
    </xf>
    <xf numFmtId="0" fontId="0" fillId="3" borderId="12" xfId="0" applyFill="1" applyBorder="1"/>
    <xf numFmtId="0" fontId="0" fillId="3" borderId="51" xfId="0" applyFill="1" applyBorder="1"/>
    <xf numFmtId="0" fontId="0" fillId="3" borderId="14" xfId="0" applyFill="1" applyBorder="1"/>
    <xf numFmtId="0" fontId="0" fillId="3" borderId="3" xfId="0" applyFill="1" applyBorder="1"/>
    <xf numFmtId="0" fontId="0" fillId="3" borderId="10" xfId="0" applyFill="1" applyBorder="1"/>
    <xf numFmtId="0" fontId="0" fillId="3" borderId="66" xfId="0" applyFill="1" applyBorder="1"/>
    <xf numFmtId="0" fontId="0" fillId="4" borderId="0" xfId="0" applyFill="1"/>
    <xf numFmtId="0" fontId="11" fillId="0" borderId="0" xfId="0" applyFont="1" applyBorder="1"/>
    <xf numFmtId="0" fontId="8" fillId="0" borderId="0" xfId="0" applyFont="1" applyFill="1" applyBorder="1"/>
    <xf numFmtId="168" fontId="8" fillId="0" borderId="0" xfId="0" applyNumberFormat="1" applyFont="1" applyFill="1" applyBorder="1" applyAlignment="1" applyProtection="1">
      <alignment horizontal="left"/>
    </xf>
    <xf numFmtId="0" fontId="11" fillId="0" borderId="55" xfId="0" applyFont="1" applyBorder="1" applyAlignment="1">
      <alignment horizontal="left"/>
    </xf>
    <xf numFmtId="0" fontId="11" fillId="0" borderId="26" xfId="0" applyFont="1" applyBorder="1" applyAlignment="1">
      <alignment horizontal="left"/>
    </xf>
    <xf numFmtId="164" fontId="0" fillId="0" borderId="27" xfId="0" applyNumberFormat="1" applyBorder="1"/>
    <xf numFmtId="2" fontId="2" fillId="0" borderId="0" xfId="0" applyNumberFormat="1" applyFont="1" applyBorder="1"/>
    <xf numFmtId="3" fontId="2" fillId="0" borderId="36" xfId="0" applyNumberFormat="1" applyFont="1" applyBorder="1"/>
    <xf numFmtId="2" fontId="0" fillId="0" borderId="0" xfId="0" applyNumberFormat="1" applyBorder="1" applyAlignment="1">
      <alignment horizontal="right"/>
    </xf>
    <xf numFmtId="2" fontId="2" fillId="0" borderId="0" xfId="0" applyNumberFormat="1" applyFont="1" applyBorder="1" applyAlignment="1">
      <alignment horizontal="right"/>
    </xf>
    <xf numFmtId="2" fontId="12" fillId="0" borderId="0" xfId="0" applyNumberFormat="1" applyFont="1" applyBorder="1"/>
    <xf numFmtId="164" fontId="0" fillId="0" borderId="45" xfId="0" applyNumberFormat="1" applyBorder="1"/>
    <xf numFmtId="0" fontId="0" fillId="0" borderId="23" xfId="0" applyBorder="1" applyAlignment="1">
      <alignment horizontal="left"/>
    </xf>
    <xf numFmtId="2" fontId="0" fillId="0" borderId="67" xfId="0" applyNumberFormat="1" applyBorder="1" applyAlignment="1">
      <alignment horizontal="right"/>
    </xf>
    <xf numFmtId="2" fontId="0" fillId="0" borderId="1" xfId="0" applyNumberFormat="1" applyBorder="1" applyAlignment="1">
      <alignment horizontal="right"/>
    </xf>
    <xf numFmtId="0" fontId="2" fillId="0" borderId="25" xfId="0" applyFont="1" applyBorder="1" applyAlignment="1">
      <alignment horizontal="centerContinuous"/>
    </xf>
    <xf numFmtId="164" fontId="2" fillId="0" borderId="18" xfId="0" applyNumberFormat="1" applyFont="1" applyBorder="1" applyAlignment="1">
      <alignment horizontal="center"/>
    </xf>
    <xf numFmtId="164" fontId="2" fillId="0" borderId="19" xfId="0" applyNumberFormat="1" applyFont="1" applyBorder="1" applyAlignment="1">
      <alignment horizontal="center"/>
    </xf>
    <xf numFmtId="0" fontId="2" fillId="0" borderId="15" xfId="0" applyFont="1" applyBorder="1" applyAlignment="1">
      <alignment horizontal="center" wrapText="1"/>
    </xf>
    <xf numFmtId="0" fontId="2" fillId="0" borderId="68" xfId="0" applyFont="1" applyBorder="1" applyAlignment="1">
      <alignment horizontal="center" wrapText="1"/>
    </xf>
    <xf numFmtId="0" fontId="2" fillId="0" borderId="50" xfId="0" applyFont="1" applyBorder="1" applyAlignment="1">
      <alignment horizontal="center" wrapText="1"/>
    </xf>
    <xf numFmtId="0" fontId="2" fillId="0" borderId="50" xfId="0" applyFont="1" applyBorder="1" applyAlignment="1">
      <alignment horizontal="center"/>
    </xf>
    <xf numFmtId="0" fontId="2" fillId="0" borderId="69" xfId="0" applyFont="1" applyBorder="1" applyAlignment="1">
      <alignment horizontal="center" wrapText="1"/>
    </xf>
    <xf numFmtId="0" fontId="2" fillId="0" borderId="70" xfId="0" applyFont="1" applyBorder="1" applyAlignment="1">
      <alignment horizontal="center" wrapText="1"/>
    </xf>
    <xf numFmtId="0" fontId="2" fillId="0" borderId="5" xfId="0" applyFont="1" applyBorder="1" applyAlignment="1">
      <alignment horizontal="right"/>
    </xf>
    <xf numFmtId="0" fontId="2" fillId="0" borderId="45" xfId="0" applyFont="1" applyBorder="1" applyAlignment="1">
      <alignment horizontal="right"/>
    </xf>
    <xf numFmtId="3" fontId="2" fillId="0" borderId="71" xfId="0" applyNumberFormat="1" applyFont="1" applyBorder="1" applyAlignment="1"/>
    <xf numFmtId="4" fontId="2" fillId="0" borderId="1" xfId="1" applyNumberFormat="1" applyFont="1" applyBorder="1" applyAlignment="1"/>
    <xf numFmtId="3" fontId="2" fillId="0" borderId="37" xfId="0" applyNumberFormat="1" applyFont="1" applyBorder="1"/>
    <xf numFmtId="2" fontId="2" fillId="0" borderId="0" xfId="0" applyNumberFormat="1" applyFont="1" applyBorder="1" applyAlignment="1"/>
    <xf numFmtId="0" fontId="14" fillId="0" borderId="0" xfId="0" applyFont="1" applyAlignment="1">
      <alignment horizontal="centerContinuous"/>
    </xf>
    <xf numFmtId="0" fontId="15" fillId="0" borderId="0" xfId="0" applyFont="1" applyAlignment="1">
      <alignment horizontal="centerContinuous"/>
    </xf>
    <xf numFmtId="0" fontId="16" fillId="0" borderId="0" xfId="0" applyFont="1" applyAlignment="1">
      <alignment horizontal="centerContinuous"/>
    </xf>
    <xf numFmtId="0" fontId="2" fillId="0" borderId="18" xfId="0" applyFont="1" applyBorder="1" applyAlignment="1">
      <alignment horizontal="centerContinuous"/>
    </xf>
    <xf numFmtId="0" fontId="0" fillId="0" borderId="72" xfId="0" applyBorder="1"/>
    <xf numFmtId="39" fontId="8" fillId="0" borderId="0" xfId="0" applyNumberFormat="1" applyFont="1" applyBorder="1"/>
    <xf numFmtId="166" fontId="1" fillId="0" borderId="47" xfId="1" applyNumberFormat="1" applyBorder="1"/>
    <xf numFmtId="166" fontId="1" fillId="0" borderId="0" xfId="1" applyNumberFormat="1" applyBorder="1"/>
    <xf numFmtId="166" fontId="1" fillId="0" borderId="45" xfId="1" applyNumberFormat="1" applyBorder="1"/>
    <xf numFmtId="0" fontId="17" fillId="0" borderId="27" xfId="0" applyFont="1" applyFill="1" applyBorder="1" applyAlignment="1">
      <alignment horizontal="center" vertical="top"/>
    </xf>
    <xf numFmtId="3" fontId="2" fillId="0" borderId="36" xfId="0" applyNumberFormat="1" applyFont="1" applyBorder="1" applyProtection="1"/>
    <xf numFmtId="43" fontId="1" fillId="0" borderId="0" xfId="1" applyBorder="1"/>
    <xf numFmtId="0" fontId="12" fillId="0" borderId="0" xfId="0" applyFont="1" applyFill="1" applyBorder="1" applyAlignment="1">
      <alignment horizontal="left"/>
    </xf>
    <xf numFmtId="0" fontId="12" fillId="0" borderId="27" xfId="0" applyFont="1" applyFill="1" applyBorder="1" applyAlignment="1">
      <alignment horizontal="left" vertical="top"/>
    </xf>
    <xf numFmtId="0" fontId="17" fillId="0" borderId="39" xfId="0" applyFont="1" applyBorder="1" applyAlignment="1">
      <alignment horizontal="center"/>
    </xf>
    <xf numFmtId="0" fontId="17" fillId="0" borderId="39" xfId="0" applyFont="1" applyBorder="1" applyAlignment="1">
      <alignment horizontal="left"/>
    </xf>
    <xf numFmtId="0" fontId="2" fillId="0" borderId="0" xfId="0" applyFont="1" applyBorder="1" applyAlignment="1">
      <alignment horizontal="left"/>
    </xf>
    <xf numFmtId="0" fontId="0" fillId="0" borderId="0" xfId="0" applyAlignment="1">
      <alignment wrapText="1"/>
    </xf>
    <xf numFmtId="0" fontId="0" fillId="0" borderId="0" xfId="0" applyAlignment="1"/>
    <xf numFmtId="0" fontId="0" fillId="0" borderId="0" xfId="0" applyAlignment="1">
      <alignment horizontal="left" vertical="center" wrapText="1"/>
    </xf>
    <xf numFmtId="0" fontId="18" fillId="0" borderId="0" xfId="2" applyFill="1" applyBorder="1" applyAlignment="1" applyProtection="1">
      <alignment horizontal="left"/>
    </xf>
    <xf numFmtId="0" fontId="18" fillId="0" borderId="0" xfId="2" applyAlignment="1" applyProtection="1"/>
    <xf numFmtId="0" fontId="18" fillId="0" borderId="0" xfId="2" applyFont="1" applyAlignment="1" applyProtection="1"/>
    <xf numFmtId="0" fontId="18" fillId="0" borderId="73" xfId="2" applyBorder="1" applyAlignment="1" applyProtection="1">
      <protection locked="0"/>
    </xf>
    <xf numFmtId="0" fontId="18" fillId="0" borderId="0" xfId="2" applyBorder="1" applyAlignment="1" applyProtection="1"/>
    <xf numFmtId="0" fontId="0" fillId="5" borderId="0" xfId="0" applyFill="1"/>
    <xf numFmtId="0" fontId="0" fillId="5" borderId="0" xfId="0" applyFill="1" applyAlignment="1"/>
    <xf numFmtId="0" fontId="0" fillId="5" borderId="0" xfId="0" applyFill="1" applyAlignment="1">
      <alignment wrapText="1"/>
    </xf>
    <xf numFmtId="0" fontId="11" fillId="5" borderId="0" xfId="0" applyFont="1" applyFill="1" applyBorder="1" applyAlignment="1">
      <alignment horizontal="center" vertical="center"/>
    </xf>
    <xf numFmtId="0" fontId="18" fillId="5" borderId="0" xfId="2" applyFill="1" applyBorder="1" applyAlignment="1" applyProtection="1">
      <alignment horizontal="left" vertical="center" wrapText="1"/>
    </xf>
    <xf numFmtId="0" fontId="11" fillId="5" borderId="5" xfId="0" applyFont="1" applyFill="1" applyBorder="1" applyAlignment="1">
      <alignment horizontal="center" vertical="center"/>
    </xf>
    <xf numFmtId="0" fontId="0" fillId="5" borderId="5" xfId="0" applyFill="1" applyBorder="1" applyAlignment="1">
      <alignment horizontal="left" vertical="center" wrapText="1"/>
    </xf>
    <xf numFmtId="0" fontId="7" fillId="5" borderId="0" xfId="0" applyFont="1" applyFill="1" applyAlignment="1">
      <alignment wrapText="1"/>
    </xf>
    <xf numFmtId="0" fontId="0" fillId="5" borderId="41" xfId="0" applyFill="1" applyBorder="1"/>
    <xf numFmtId="164" fontId="18" fillId="0" borderId="0" xfId="2" applyNumberFormat="1" applyBorder="1" applyAlignment="1" applyProtection="1">
      <alignment horizontal="left"/>
    </xf>
    <xf numFmtId="3" fontId="12" fillId="0" borderId="1" xfId="0" applyNumberFormat="1" applyFont="1" applyBorder="1" applyAlignment="1">
      <alignment horizontal="center"/>
    </xf>
    <xf numFmtId="0" fontId="0" fillId="4" borderId="0" xfId="0" applyFill="1" applyBorder="1" applyAlignment="1">
      <alignment horizontal="center"/>
    </xf>
    <xf numFmtId="0" fontId="0" fillId="4" borderId="64" xfId="0" applyFill="1" applyBorder="1" applyAlignment="1">
      <alignment horizontal="center"/>
    </xf>
    <xf numFmtId="0" fontId="0" fillId="4" borderId="63" xfId="0" applyFill="1" applyBorder="1"/>
    <xf numFmtId="0" fontId="0" fillId="0" borderId="58" xfId="0" applyBorder="1" applyAlignment="1">
      <alignment horizontal="right"/>
    </xf>
    <xf numFmtId="0" fontId="0" fillId="0" borderId="39" xfId="0" applyBorder="1" applyAlignment="1">
      <alignment horizontal="left"/>
    </xf>
    <xf numFmtId="0" fontId="2" fillId="0" borderId="66" xfId="0" applyFont="1" applyBorder="1" applyAlignment="1">
      <alignment horizontal="centerContinuous"/>
    </xf>
    <xf numFmtId="2" fontId="2" fillId="0" borderId="69" xfId="0" applyNumberFormat="1" applyFont="1" applyBorder="1" applyAlignment="1">
      <alignment horizontal="right"/>
    </xf>
    <xf numFmtId="2" fontId="2" fillId="0" borderId="62" xfId="0" applyNumberFormat="1" applyFont="1" applyBorder="1" applyAlignment="1">
      <alignment horizontal="right"/>
    </xf>
    <xf numFmtId="0" fontId="2" fillId="0" borderId="74" xfId="0" applyFont="1" applyBorder="1" applyAlignment="1">
      <alignment horizontal="centerContinuous"/>
    </xf>
    <xf numFmtId="0" fontId="0" fillId="0" borderId="62" xfId="0" applyBorder="1" applyAlignment="1">
      <alignment horizontal="left"/>
    </xf>
    <xf numFmtId="2" fontId="2" fillId="6" borderId="0" xfId="0" applyNumberFormat="1" applyFont="1" applyFill="1" applyBorder="1" applyAlignment="1" applyProtection="1">
      <alignment horizontal="right"/>
    </xf>
    <xf numFmtId="0" fontId="0" fillId="5" borderId="0" xfId="0" applyFill="1" applyBorder="1" applyAlignment="1">
      <alignment horizontal="center" vertical="center" wrapText="1"/>
    </xf>
    <xf numFmtId="0" fontId="0" fillId="5" borderId="0" xfId="0" applyFill="1" applyBorder="1" applyAlignment="1"/>
    <xf numFmtId="0" fontId="0" fillId="0" borderId="0" xfId="0" applyBorder="1" applyAlignment="1"/>
    <xf numFmtId="0" fontId="19" fillId="5" borderId="0" xfId="0" applyFont="1" applyFill="1" applyBorder="1" applyAlignment="1">
      <alignment horizontal="left" vertical="top" wrapText="1"/>
    </xf>
    <xf numFmtId="0" fontId="0" fillId="5" borderId="0" xfId="0" applyFill="1" applyBorder="1" applyAlignment="1">
      <alignment vertical="top" wrapText="1"/>
    </xf>
    <xf numFmtId="0" fontId="0" fillId="0" borderId="0" xfId="0" applyAlignment="1">
      <alignment vertical="top" wrapText="1"/>
    </xf>
    <xf numFmtId="0" fontId="0" fillId="0" borderId="0" xfId="0" applyAlignment="1">
      <alignment vertical="top"/>
    </xf>
    <xf numFmtId="0" fontId="0" fillId="5" borderId="0" xfId="0" applyFill="1" applyBorder="1"/>
    <xf numFmtId="0" fontId="0" fillId="5" borderId="0" xfId="0" applyFill="1" applyBorder="1" applyAlignment="1">
      <alignment wrapText="1"/>
    </xf>
    <xf numFmtId="0" fontId="20" fillId="5" borderId="45" xfId="0" applyFont="1" applyFill="1" applyBorder="1" applyAlignment="1"/>
    <xf numFmtId="0" fontId="20" fillId="5" borderId="45" xfId="0" applyFont="1" applyFill="1" applyBorder="1" applyAlignment="1">
      <alignment wrapText="1"/>
    </xf>
    <xf numFmtId="0" fontId="20" fillId="5" borderId="0" xfId="0" applyFont="1" applyFill="1" applyBorder="1" applyAlignment="1"/>
    <xf numFmtId="0" fontId="0" fillId="5" borderId="43" xfId="0" applyFill="1" applyBorder="1" applyAlignment="1"/>
    <xf numFmtId="0" fontId="11" fillId="5" borderId="41" xfId="0" applyFont="1" applyFill="1" applyBorder="1" applyAlignment="1">
      <alignment horizontal="center" vertical="center"/>
    </xf>
    <xf numFmtId="0" fontId="20" fillId="5" borderId="41" xfId="0" applyFont="1" applyFill="1" applyBorder="1" applyAlignment="1"/>
    <xf numFmtId="0" fontId="20" fillId="5" borderId="0" xfId="0" applyFont="1" applyFill="1" applyBorder="1" applyAlignment="1">
      <alignment wrapText="1"/>
    </xf>
    <xf numFmtId="0" fontId="11" fillId="5" borderId="45" xfId="0" applyFont="1" applyFill="1" applyBorder="1" applyAlignment="1">
      <alignment horizontal="center" vertical="center"/>
    </xf>
    <xf numFmtId="0" fontId="18" fillId="5" borderId="46" xfId="2" applyFill="1" applyBorder="1" applyAlignment="1" applyProtection="1">
      <alignment horizontal="left" vertical="center" wrapText="1"/>
    </xf>
    <xf numFmtId="0" fontId="11" fillId="5" borderId="44" xfId="0" applyFont="1" applyFill="1" applyBorder="1" applyAlignment="1">
      <alignment horizontal="center" vertical="center"/>
    </xf>
    <xf numFmtId="0" fontId="0" fillId="5" borderId="45" xfId="0" applyFill="1" applyBorder="1" applyAlignment="1">
      <alignment vertical="center" wrapText="1"/>
    </xf>
    <xf numFmtId="0" fontId="0" fillId="0" borderId="45" xfId="0" applyBorder="1" applyAlignment="1">
      <alignment vertical="center" wrapText="1"/>
    </xf>
    <xf numFmtId="0" fontId="0" fillId="0" borderId="45" xfId="0" applyBorder="1" applyAlignment="1">
      <alignment vertical="center"/>
    </xf>
    <xf numFmtId="0" fontId="18" fillId="5" borderId="4" xfId="2" applyFill="1" applyBorder="1" applyAlignment="1" applyProtection="1">
      <alignment horizontal="left" vertical="center" wrapText="1"/>
    </xf>
    <xf numFmtId="0" fontId="0" fillId="0" borderId="45" xfId="0" applyBorder="1" applyAlignment="1">
      <alignment horizontal="left" vertical="center" wrapText="1"/>
    </xf>
    <xf numFmtId="0" fontId="11" fillId="5" borderId="75" xfId="0" applyFont="1" applyFill="1" applyBorder="1" applyAlignment="1">
      <alignment horizontal="center" vertical="center" wrapText="1"/>
    </xf>
    <xf numFmtId="0" fontId="0" fillId="5" borderId="72" xfId="0" applyFill="1" applyBorder="1" applyAlignment="1">
      <alignment horizontal="left" vertical="center" wrapText="1"/>
    </xf>
    <xf numFmtId="0" fontId="0" fillId="5" borderId="41" xfId="0" applyFill="1" applyBorder="1" applyAlignment="1"/>
    <xf numFmtId="0" fontId="0" fillId="5" borderId="41" xfId="0" applyFill="1" applyBorder="1" applyAlignment="1">
      <alignment horizontal="left" vertical="top" wrapText="1"/>
    </xf>
    <xf numFmtId="0" fontId="21" fillId="5" borderId="0" xfId="2" applyFont="1" applyFill="1" applyBorder="1" applyAlignment="1" applyProtection="1"/>
    <xf numFmtId="0" fontId="9" fillId="5" borderId="0" xfId="0" applyFont="1" applyFill="1" applyBorder="1" applyAlignment="1">
      <alignment vertical="top" wrapText="1"/>
    </xf>
    <xf numFmtId="0" fontId="18" fillId="5" borderId="0" xfId="2" applyFont="1" applyFill="1" applyAlignment="1" applyProtection="1">
      <alignment vertical="top" wrapText="1"/>
    </xf>
    <xf numFmtId="0" fontId="18" fillId="5" borderId="0" xfId="2" applyFill="1" applyAlignment="1" applyProtection="1">
      <alignment vertical="top" wrapText="1"/>
    </xf>
    <xf numFmtId="0" fontId="8" fillId="5" borderId="0" xfId="0" applyFont="1" applyFill="1" applyAlignment="1">
      <alignment wrapText="1"/>
    </xf>
    <xf numFmtId="0" fontId="0" fillId="5" borderId="0" xfId="0" applyFill="1" applyAlignment="1">
      <alignment vertical="top"/>
    </xf>
    <xf numFmtId="0" fontId="23" fillId="5" borderId="0" xfId="2" applyFont="1" applyFill="1" applyBorder="1" applyAlignment="1" applyProtection="1">
      <alignment horizontal="left" vertical="center"/>
    </xf>
    <xf numFmtId="0" fontId="23" fillId="5" borderId="0" xfId="2" applyFont="1" applyFill="1" applyBorder="1" applyAlignment="1" applyProtection="1"/>
    <xf numFmtId="0" fontId="24" fillId="5" borderId="0" xfId="0" applyFont="1" applyFill="1" applyBorder="1" applyAlignment="1">
      <alignment horizontal="left" vertical="center"/>
    </xf>
    <xf numFmtId="0" fontId="19" fillId="5" borderId="0" xfId="0" applyFont="1" applyFill="1" applyBorder="1" applyAlignment="1">
      <alignment horizontal="left" vertical="center" wrapText="1"/>
    </xf>
    <xf numFmtId="0" fontId="0" fillId="0" borderId="0" xfId="0" applyFill="1"/>
    <xf numFmtId="0" fontId="8" fillId="5" borderId="0" xfId="0" applyFont="1" applyFill="1" applyBorder="1" applyAlignment="1">
      <alignment vertical="top" wrapText="1"/>
    </xf>
    <xf numFmtId="0" fontId="0" fillId="5" borderId="0" xfId="0" applyFill="1" applyBorder="1" applyAlignment="1">
      <alignment horizontal="left" vertical="center"/>
    </xf>
    <xf numFmtId="3" fontId="18" fillId="0" borderId="0" xfId="2" applyNumberFormat="1" applyFill="1" applyBorder="1" applyAlignment="1" applyProtection="1"/>
    <xf numFmtId="0" fontId="0" fillId="5" borderId="0" xfId="0" applyFill="1" applyAlignment="1">
      <alignment vertical="top" wrapText="1"/>
    </xf>
    <xf numFmtId="2" fontId="2" fillId="6" borderId="0" xfId="0" applyNumberFormat="1" applyFont="1" applyFill="1" applyBorder="1" applyAlignment="1" applyProtection="1">
      <alignment horizontal="left"/>
    </xf>
    <xf numFmtId="2" fontId="2" fillId="0" borderId="0" xfId="0" applyNumberFormat="1" applyFont="1" applyBorder="1" applyAlignment="1">
      <alignment horizontal="centerContinuous"/>
    </xf>
    <xf numFmtId="0" fontId="18" fillId="5" borderId="72" xfId="2" applyFill="1" applyBorder="1" applyAlignment="1" applyProtection="1">
      <alignment horizontal="left" vertical="center" wrapText="1"/>
    </xf>
    <xf numFmtId="0" fontId="0" fillId="0" borderId="0" xfId="0" applyBorder="1" applyAlignment="1" applyProtection="1">
      <alignment horizontal="left" vertical="top"/>
    </xf>
    <xf numFmtId="0" fontId="0" fillId="0" borderId="0" xfId="0" applyProtection="1"/>
    <xf numFmtId="0" fontId="11" fillId="0" borderId="0" xfId="0" applyFont="1" applyBorder="1" applyProtection="1"/>
    <xf numFmtId="0" fontId="2" fillId="0" borderId="0" xfId="0" applyFont="1" applyBorder="1" applyProtection="1"/>
    <xf numFmtId="2" fontId="12" fillId="0" borderId="0" xfId="0" applyNumberFormat="1" applyFont="1" applyBorder="1" applyProtection="1"/>
    <xf numFmtId="164" fontId="2" fillId="0" borderId="0" xfId="0" applyNumberFormat="1" applyFont="1" applyBorder="1" applyProtection="1"/>
    <xf numFmtId="0" fontId="12" fillId="0" borderId="0" xfId="0" applyFont="1" applyBorder="1" applyAlignment="1">
      <alignment horizontal="right"/>
    </xf>
    <xf numFmtId="0" fontId="18" fillId="0" borderId="0" xfId="2" applyFont="1" applyBorder="1" applyAlignment="1" applyProtection="1"/>
    <xf numFmtId="0" fontId="18" fillId="5" borderId="46" xfId="2" applyFont="1" applyFill="1" applyBorder="1" applyAlignment="1" applyProtection="1">
      <alignment horizontal="left" vertical="center" wrapText="1"/>
    </xf>
    <xf numFmtId="0" fontId="7" fillId="5" borderId="0" xfId="0" applyFont="1" applyFill="1" applyBorder="1" applyAlignment="1">
      <alignment wrapText="1"/>
    </xf>
    <xf numFmtId="0" fontId="0" fillId="5" borderId="45" xfId="0" applyFill="1" applyBorder="1"/>
    <xf numFmtId="0" fontId="7" fillId="5" borderId="46" xfId="0" applyFont="1" applyFill="1" applyBorder="1" applyAlignment="1">
      <alignment wrapText="1"/>
    </xf>
    <xf numFmtId="0" fontId="2" fillId="0" borderId="64" xfId="0" applyFont="1" applyBorder="1" applyAlignment="1">
      <alignment horizontal="center"/>
    </xf>
    <xf numFmtId="2" fontId="2" fillId="0" borderId="64" xfId="0" applyNumberFormat="1" applyFont="1" applyBorder="1"/>
    <xf numFmtId="164" fontId="12" fillId="0" borderId="14" xfId="0" applyNumberFormat="1" applyFont="1" applyFill="1" applyBorder="1" applyAlignment="1">
      <alignment horizontal="center"/>
    </xf>
    <xf numFmtId="164" fontId="2" fillId="0" borderId="70" xfId="0" applyNumberFormat="1" applyFont="1" applyBorder="1" applyAlignment="1">
      <alignment horizontal="center"/>
    </xf>
    <xf numFmtId="164" fontId="2" fillId="0" borderId="76" xfId="0" applyNumberFormat="1" applyFont="1" applyBorder="1" applyAlignment="1">
      <alignment horizontal="center"/>
    </xf>
    <xf numFmtId="164" fontId="2" fillId="0" borderId="50" xfId="0" applyNumberFormat="1" applyFont="1" applyBorder="1" applyAlignment="1">
      <alignment horizontal="center"/>
    </xf>
    <xf numFmtId="164" fontId="2" fillId="0" borderId="58" xfId="0" applyNumberFormat="1" applyFont="1" applyBorder="1" applyAlignment="1">
      <alignment horizontal="center"/>
    </xf>
    <xf numFmtId="3" fontId="2" fillId="6" borderId="28" xfId="0" applyNumberFormat="1" applyFont="1" applyFill="1" applyBorder="1" applyProtection="1"/>
    <xf numFmtId="3" fontId="2" fillId="0" borderId="33" xfId="0" applyNumberFormat="1" applyFont="1" applyBorder="1" applyProtection="1"/>
    <xf numFmtId="3" fontId="2" fillId="0" borderId="29" xfId="0" applyNumberFormat="1" applyFont="1" applyBorder="1" applyProtection="1"/>
    <xf numFmtId="2" fontId="2" fillId="0" borderId="60" xfId="0" applyNumberFormat="1" applyFont="1" applyBorder="1" applyAlignment="1">
      <alignment horizontal="right"/>
    </xf>
    <xf numFmtId="0" fontId="0" fillId="0" borderId="41" xfId="0" applyBorder="1" applyAlignment="1">
      <alignment horizontal="center"/>
    </xf>
    <xf numFmtId="1" fontId="0" fillId="0" borderId="0" xfId="0" applyNumberFormat="1" applyBorder="1" applyAlignment="1">
      <alignment horizontal="center"/>
    </xf>
    <xf numFmtId="164" fontId="0" fillId="0" borderId="0" xfId="0" applyNumberFormat="1" applyBorder="1" applyAlignment="1">
      <alignment horizontal="center"/>
    </xf>
    <xf numFmtId="2" fontId="0" fillId="0" borderId="43" xfId="0" applyNumberFormat="1" applyBorder="1"/>
    <xf numFmtId="0" fontId="2" fillId="0" borderId="61" xfId="0" applyFont="1" applyBorder="1" applyAlignment="1"/>
    <xf numFmtId="0" fontId="0" fillId="3" borderId="17" xfId="0" applyFill="1" applyBorder="1"/>
    <xf numFmtId="0" fontId="0" fillId="3" borderId="64" xfId="0" applyFill="1" applyBorder="1"/>
    <xf numFmtId="0" fontId="0" fillId="0" borderId="77" xfId="0" applyBorder="1"/>
    <xf numFmtId="0" fontId="0" fillId="3" borderId="78" xfId="0" applyFill="1" applyBorder="1"/>
    <xf numFmtId="0" fontId="0" fillId="4" borderId="78" xfId="0" applyFill="1" applyBorder="1"/>
    <xf numFmtId="0" fontId="0" fillId="0" borderId="17" xfId="0" applyBorder="1"/>
    <xf numFmtId="0" fontId="0" fillId="0" borderId="25" xfId="0" applyBorder="1"/>
    <xf numFmtId="0" fontId="0" fillId="3" borderId="25" xfId="0" applyFill="1" applyBorder="1"/>
    <xf numFmtId="0" fontId="0" fillId="3" borderId="50" xfId="0" applyFill="1" applyBorder="1"/>
    <xf numFmtId="0" fontId="0" fillId="3" borderId="69" xfId="0" applyFill="1" applyBorder="1"/>
    <xf numFmtId="0" fontId="0" fillId="0" borderId="24" xfId="0" applyBorder="1"/>
    <xf numFmtId="0" fontId="18" fillId="5" borderId="45" xfId="2" applyFont="1" applyFill="1" applyBorder="1" applyAlignment="1" applyProtection="1">
      <alignment horizontal="left" vertical="center" wrapText="1"/>
    </xf>
    <xf numFmtId="0" fontId="2" fillId="0" borderId="0" xfId="0" applyFont="1" applyAlignment="1">
      <alignment horizontal="right"/>
    </xf>
    <xf numFmtId="164" fontId="2" fillId="0" borderId="38" xfId="0" applyNumberFormat="1" applyFont="1" applyBorder="1"/>
    <xf numFmtId="0" fontId="0" fillId="0" borderId="66" xfId="0" applyBorder="1"/>
    <xf numFmtId="0" fontId="4" fillId="0" borderId="0" xfId="0" applyFont="1" applyBorder="1" applyAlignment="1">
      <alignment horizontal="right"/>
    </xf>
    <xf numFmtId="0" fontId="18" fillId="5" borderId="0" xfId="2" applyFont="1" applyFill="1" applyBorder="1" applyAlignment="1" applyProtection="1">
      <alignment horizontal="left" vertical="center" wrapText="1"/>
    </xf>
    <xf numFmtId="0" fontId="4" fillId="0" borderId="35" xfId="0" applyFont="1" applyBorder="1" applyAlignment="1">
      <alignment horizontal="left"/>
    </xf>
    <xf numFmtId="4" fontId="0" fillId="0" borderId="35" xfId="0" applyNumberFormat="1" applyBorder="1" applyAlignment="1">
      <alignment horizontal="left"/>
    </xf>
    <xf numFmtId="0" fontId="4" fillId="0" borderId="0" xfId="0" applyFont="1" applyBorder="1" applyAlignment="1">
      <alignment horizontal="center"/>
    </xf>
    <xf numFmtId="0" fontId="9" fillId="0" borderId="0" xfId="0" applyFont="1" applyBorder="1" applyAlignment="1">
      <alignment horizontal="right"/>
    </xf>
    <xf numFmtId="0" fontId="0" fillId="0" borderId="0" xfId="0" applyAlignment="1">
      <alignment horizontal="right"/>
    </xf>
    <xf numFmtId="0" fontId="18" fillId="5" borderId="4" xfId="2" applyFont="1" applyFill="1" applyBorder="1" applyAlignment="1" applyProtection="1">
      <alignment horizontal="left" vertical="center" wrapText="1"/>
    </xf>
    <xf numFmtId="0" fontId="0" fillId="4" borderId="51" xfId="0" applyFill="1" applyBorder="1"/>
    <xf numFmtId="0" fontId="0" fillId="4" borderId="3" xfId="0" applyFill="1" applyBorder="1"/>
    <xf numFmtId="0" fontId="0" fillId="4" borderId="66" xfId="0" applyFill="1" applyBorder="1"/>
    <xf numFmtId="0" fontId="0" fillId="4" borderId="53" xfId="0" applyFill="1" applyBorder="1"/>
    <xf numFmtId="0" fontId="0" fillId="3" borderId="50" xfId="0" applyFill="1" applyBorder="1" applyAlignment="1">
      <alignment horizontal="center"/>
    </xf>
    <xf numFmtId="0" fontId="0" fillId="4" borderId="70" xfId="0" applyFill="1" applyBorder="1" applyAlignment="1">
      <alignment horizontal="center"/>
    </xf>
    <xf numFmtId="0" fontId="0" fillId="4" borderId="60" xfId="0" applyFill="1" applyBorder="1"/>
    <xf numFmtId="0" fontId="0" fillId="6" borderId="64" xfId="0" applyFill="1" applyBorder="1" applyAlignment="1">
      <alignment horizontal="center"/>
    </xf>
    <xf numFmtId="0" fontId="0" fillId="6" borderId="76" xfId="0" applyFill="1" applyBorder="1" applyAlignment="1">
      <alignment horizontal="center"/>
    </xf>
    <xf numFmtId="0" fontId="0" fillId="0" borderId="23" xfId="0" applyBorder="1" applyAlignment="1">
      <alignment horizontal="centerContinuous"/>
    </xf>
    <xf numFmtId="0" fontId="0" fillId="0" borderId="31" xfId="0" applyBorder="1"/>
    <xf numFmtId="0" fontId="0" fillId="4" borderId="31" xfId="0" applyFill="1" applyBorder="1"/>
    <xf numFmtId="0" fontId="0" fillId="4" borderId="79" xfId="0" applyFill="1" applyBorder="1"/>
    <xf numFmtId="0" fontId="0" fillId="3" borderId="15" xfId="0" applyFill="1" applyBorder="1" applyAlignment="1">
      <alignment horizontal="center"/>
    </xf>
    <xf numFmtId="0" fontId="0" fillId="0" borderId="32" xfId="0" applyBorder="1"/>
    <xf numFmtId="0" fontId="0" fillId="3" borderId="8" xfId="0" applyFill="1" applyBorder="1"/>
    <xf numFmtId="0" fontId="0" fillId="3" borderId="5" xfId="0" applyFill="1" applyBorder="1"/>
    <xf numFmtId="0" fontId="0" fillId="3" borderId="53" xfId="0" applyFill="1" applyBorder="1"/>
    <xf numFmtId="0" fontId="0" fillId="4" borderId="52" xfId="0" applyFill="1" applyBorder="1"/>
    <xf numFmtId="0" fontId="0" fillId="4" borderId="4" xfId="0" applyFill="1" applyBorder="1"/>
    <xf numFmtId="0" fontId="0" fillId="4" borderId="54" xfId="0" applyFill="1" applyBorder="1"/>
    <xf numFmtId="0" fontId="0" fillId="0" borderId="9" xfId="0" applyBorder="1"/>
    <xf numFmtId="0" fontId="0" fillId="0" borderId="80" xfId="0" applyBorder="1"/>
    <xf numFmtId="0" fontId="0" fillId="0" borderId="78" xfId="0" applyBorder="1"/>
    <xf numFmtId="0" fontId="0" fillId="6" borderId="15" xfId="0" applyFill="1" applyBorder="1" applyAlignment="1">
      <alignment horizontal="center"/>
    </xf>
    <xf numFmtId="0" fontId="2" fillId="6" borderId="0" xfId="0" applyFont="1" applyFill="1" applyBorder="1" applyAlignment="1" applyProtection="1"/>
    <xf numFmtId="0" fontId="0" fillId="6" borderId="0" xfId="0" applyFill="1" applyBorder="1" applyAlignment="1" applyProtection="1"/>
    <xf numFmtId="0" fontId="0" fillId="0" borderId="0" xfId="0" applyFill="1" applyBorder="1" applyAlignment="1">
      <alignment horizontal="right"/>
    </xf>
    <xf numFmtId="4" fontId="12" fillId="0" borderId="35" xfId="0" applyNumberFormat="1" applyFont="1" applyBorder="1" applyAlignment="1">
      <alignment horizontal="left"/>
    </xf>
    <xf numFmtId="0" fontId="27" fillId="0" borderId="0" xfId="0" applyFont="1" applyBorder="1" applyAlignment="1">
      <alignment horizontal="right"/>
    </xf>
    <xf numFmtId="164" fontId="8" fillId="0" borderId="0" xfId="0" applyNumberFormat="1" applyFont="1" applyFill="1" applyBorder="1" applyAlignment="1" applyProtection="1">
      <alignment horizontal="left"/>
    </xf>
    <xf numFmtId="0" fontId="28" fillId="0" borderId="0" xfId="0" applyFont="1" applyBorder="1"/>
    <xf numFmtId="3" fontId="0" fillId="7" borderId="1" xfId="0" applyNumberFormat="1" applyFill="1" applyBorder="1" applyProtection="1">
      <protection locked="0"/>
    </xf>
    <xf numFmtId="0" fontId="9" fillId="7" borderId="81" xfId="0" applyFont="1" applyFill="1" applyBorder="1" applyAlignment="1" applyProtection="1">
      <alignment horizontal="center"/>
      <protection locked="0"/>
    </xf>
    <xf numFmtId="0" fontId="9" fillId="7" borderId="19" xfId="0" applyFont="1" applyFill="1" applyBorder="1" applyAlignment="1" applyProtection="1">
      <alignment horizontal="center"/>
      <protection locked="0"/>
    </xf>
    <xf numFmtId="3" fontId="2" fillId="7" borderId="1" xfId="0" applyNumberFormat="1" applyFont="1" applyFill="1" applyBorder="1" applyProtection="1">
      <protection locked="0"/>
    </xf>
    <xf numFmtId="0" fontId="2" fillId="7" borderId="1" xfId="0" applyFont="1" applyFill="1" applyBorder="1" applyProtection="1">
      <protection locked="0"/>
    </xf>
    <xf numFmtId="164" fontId="2" fillId="7" borderId="7" xfId="0" applyNumberFormat="1" applyFont="1" applyFill="1" applyBorder="1" applyAlignment="1" applyProtection="1">
      <alignment horizontal="left"/>
      <protection locked="0"/>
    </xf>
    <xf numFmtId="169" fontId="2" fillId="7" borderId="1" xfId="0" applyNumberFormat="1" applyFont="1" applyFill="1" applyBorder="1" applyAlignment="1" applyProtection="1">
      <alignment horizontal="left"/>
      <protection locked="0"/>
    </xf>
    <xf numFmtId="0" fontId="2" fillId="7" borderId="1" xfId="0" applyFont="1" applyFill="1" applyBorder="1" applyAlignment="1" applyProtection="1">
      <alignment horizontal="left"/>
      <protection locked="0"/>
    </xf>
    <xf numFmtId="0" fontId="2" fillId="7" borderId="82" xfId="0" applyFont="1" applyFill="1" applyBorder="1" applyAlignment="1" applyProtection="1">
      <alignment horizontal="left"/>
      <protection locked="0"/>
    </xf>
    <xf numFmtId="0" fontId="2" fillId="7" borderId="67" xfId="0" applyFont="1" applyFill="1" applyBorder="1" applyProtection="1">
      <protection locked="0"/>
    </xf>
    <xf numFmtId="164" fontId="2" fillId="7" borderId="5" xfId="0" applyNumberFormat="1" applyFont="1" applyFill="1" applyBorder="1" applyAlignment="1" applyProtection="1">
      <alignment horizontal="center"/>
      <protection locked="0"/>
    </xf>
    <xf numFmtId="2" fontId="2" fillId="7" borderId="1" xfId="0" applyNumberFormat="1" applyFont="1" applyFill="1" applyBorder="1" applyProtection="1">
      <protection locked="0"/>
    </xf>
    <xf numFmtId="2" fontId="2" fillId="7" borderId="7" xfId="0" applyNumberFormat="1" applyFont="1" applyFill="1" applyBorder="1" applyProtection="1">
      <protection locked="0"/>
    </xf>
    <xf numFmtId="0" fontId="2" fillId="7" borderId="1" xfId="0" applyFont="1" applyFill="1" applyBorder="1" applyAlignment="1" applyProtection="1">
      <alignment horizontal="center"/>
      <protection locked="0"/>
    </xf>
    <xf numFmtId="3" fontId="12" fillId="7" borderId="1" xfId="0" applyNumberFormat="1" applyFont="1" applyFill="1" applyBorder="1" applyAlignment="1" applyProtection="1">
      <alignment horizontal="center"/>
      <protection locked="0"/>
    </xf>
    <xf numFmtId="3" fontId="0" fillId="7" borderId="28" xfId="0" applyNumberFormat="1" applyFill="1" applyBorder="1" applyProtection="1">
      <protection locked="0"/>
    </xf>
    <xf numFmtId="0" fontId="17" fillId="0" borderId="0" xfId="0" applyFont="1" applyBorder="1" applyAlignment="1">
      <alignment horizontal="left"/>
    </xf>
    <xf numFmtId="3" fontId="0" fillId="3" borderId="58" xfId="0" applyNumberFormat="1" applyFill="1" applyBorder="1"/>
    <xf numFmtId="3" fontId="0" fillId="3" borderId="18" xfId="0" applyNumberFormat="1" applyFill="1" applyBorder="1"/>
    <xf numFmtId="3" fontId="0" fillId="3" borderId="19" xfId="0" applyNumberFormat="1" applyFill="1" applyBorder="1"/>
    <xf numFmtId="3" fontId="0" fillId="3" borderId="20" xfId="0" applyNumberFormat="1" applyFill="1" applyBorder="1"/>
    <xf numFmtId="3" fontId="0" fillId="0" borderId="57" xfId="0" applyNumberFormat="1" applyBorder="1"/>
    <xf numFmtId="3" fontId="0" fillId="0" borderId="48" xfId="0" applyNumberFormat="1" applyBorder="1"/>
    <xf numFmtId="3" fontId="0" fillId="0" borderId="67" xfId="0" applyNumberFormat="1" applyBorder="1"/>
    <xf numFmtId="3" fontId="0" fillId="0" borderId="68" xfId="0" applyNumberFormat="1" applyBorder="1"/>
    <xf numFmtId="3" fontId="0" fillId="0" borderId="54" xfId="0" applyNumberFormat="1" applyBorder="1"/>
    <xf numFmtId="3" fontId="0" fillId="0" borderId="63" xfId="0" applyNumberFormat="1" applyBorder="1"/>
    <xf numFmtId="3" fontId="0" fillId="0" borderId="65" xfId="0" applyNumberFormat="1" applyBorder="1"/>
    <xf numFmtId="3" fontId="0" fillId="0" borderId="38" xfId="0" applyNumberFormat="1" applyBorder="1"/>
    <xf numFmtId="3" fontId="0" fillId="6" borderId="63" xfId="0" applyNumberFormat="1" applyFill="1" applyBorder="1"/>
    <xf numFmtId="3" fontId="0" fillId="6" borderId="7" xfId="0" applyNumberFormat="1" applyFill="1" applyBorder="1"/>
    <xf numFmtId="3" fontId="0" fillId="6" borderId="1" xfId="0" applyNumberFormat="1" applyFill="1" applyBorder="1"/>
    <xf numFmtId="3" fontId="0" fillId="6" borderId="38" xfId="0" applyNumberFormat="1" applyFill="1" applyBorder="1"/>
    <xf numFmtId="3" fontId="0" fillId="6" borderId="79" xfId="0" applyNumberFormat="1" applyFill="1" applyBorder="1"/>
    <xf numFmtId="3" fontId="0" fillId="6" borderId="46" xfId="0" applyNumberFormat="1" applyFill="1" applyBorder="1"/>
    <xf numFmtId="3" fontId="0" fillId="6" borderId="4" xfId="0" applyNumberFormat="1" applyFill="1" applyBorder="1"/>
    <xf numFmtId="3" fontId="0" fillId="6" borderId="54" xfId="0" applyNumberFormat="1" applyFill="1" applyBorder="1"/>
    <xf numFmtId="3" fontId="0" fillId="3" borderId="62" xfId="0" applyNumberFormat="1" applyFill="1" applyBorder="1"/>
    <xf numFmtId="3" fontId="0" fillId="4" borderId="62" xfId="0" applyNumberFormat="1" applyFill="1" applyBorder="1"/>
    <xf numFmtId="3" fontId="0" fillId="4" borderId="83" xfId="0" applyNumberFormat="1" applyFill="1" applyBorder="1"/>
    <xf numFmtId="0" fontId="0" fillId="0" borderId="84" xfId="0" applyBorder="1"/>
    <xf numFmtId="0" fontId="0" fillId="0" borderId="84" xfId="0" applyBorder="1" applyAlignment="1">
      <alignment horizontal="center"/>
    </xf>
    <xf numFmtId="0" fontId="0" fillId="0" borderId="85" xfId="0" applyBorder="1" applyAlignment="1">
      <alignment horizontal="center"/>
    </xf>
    <xf numFmtId="0" fontId="0" fillId="0" borderId="86" xfId="0" applyBorder="1" applyAlignment="1">
      <alignment horizontal="center"/>
    </xf>
    <xf numFmtId="0" fontId="0" fillId="0" borderId="87" xfId="0" applyBorder="1" applyAlignment="1">
      <alignment horizontal="center"/>
    </xf>
    <xf numFmtId="0" fontId="0" fillId="0" borderId="86" xfId="0" applyBorder="1"/>
    <xf numFmtId="0" fontId="0" fillId="0" borderId="85" xfId="0" applyBorder="1"/>
    <xf numFmtId="0" fontId="0" fillId="0" borderId="87" xfId="0" applyBorder="1"/>
    <xf numFmtId="0" fontId="0" fillId="3" borderId="0" xfId="0" applyFill="1" applyBorder="1"/>
    <xf numFmtId="0" fontId="9" fillId="3" borderId="0" xfId="0" applyFont="1" applyFill="1" applyBorder="1" applyAlignment="1">
      <alignment horizontal="right"/>
    </xf>
    <xf numFmtId="3" fontId="0" fillId="3" borderId="0" xfId="0" applyNumberFormat="1" applyFill="1" applyBorder="1" applyAlignment="1">
      <alignment horizontal="center"/>
    </xf>
    <xf numFmtId="4" fontId="12" fillId="3" borderId="35" xfId="0" applyNumberFormat="1" applyFont="1" applyFill="1" applyBorder="1" applyAlignment="1">
      <alignment horizontal="left"/>
    </xf>
    <xf numFmtId="0" fontId="2" fillId="5" borderId="0" xfId="0" applyFont="1" applyFill="1"/>
    <xf numFmtId="0" fontId="36" fillId="8" borderId="1" xfId="0" applyFont="1" applyFill="1" applyBorder="1" applyAlignment="1">
      <alignment horizontal="center"/>
    </xf>
    <xf numFmtId="0" fontId="36" fillId="8" borderId="1" xfId="0" applyNumberFormat="1" applyFont="1" applyFill="1" applyBorder="1" applyAlignment="1">
      <alignment horizontal="center" wrapText="1"/>
    </xf>
    <xf numFmtId="0" fontId="2" fillId="8" borderId="68" xfId="0" applyFont="1" applyFill="1" applyBorder="1" applyAlignment="1">
      <alignment horizontal="centerContinuous" wrapText="1"/>
    </xf>
    <xf numFmtId="0" fontId="2" fillId="0" borderId="66" xfId="0" applyFont="1" applyFill="1" applyBorder="1" applyAlignment="1">
      <alignment horizontal="centerContinuous" wrapText="1"/>
    </xf>
    <xf numFmtId="0" fontId="18" fillId="5" borderId="5" xfId="2" applyFont="1" applyFill="1" applyBorder="1" applyAlignment="1" applyProtection="1">
      <alignment horizontal="left" vertical="center" wrapText="1"/>
    </xf>
    <xf numFmtId="0" fontId="18" fillId="5" borderId="33" xfId="2" applyFont="1" applyFill="1" applyBorder="1" applyAlignment="1" applyProtection="1">
      <alignment horizontal="left" vertical="center" wrapText="1"/>
    </xf>
    <xf numFmtId="0" fontId="0" fillId="6" borderId="0" xfId="0" applyFill="1"/>
    <xf numFmtId="0" fontId="0" fillId="6" borderId="0" xfId="0" applyFill="1" applyBorder="1"/>
    <xf numFmtId="0" fontId="12" fillId="6" borderId="0" xfId="0" applyFont="1" applyFill="1" applyBorder="1" applyAlignment="1">
      <alignment horizontal="right"/>
    </xf>
    <xf numFmtId="0" fontId="9" fillId="6" borderId="0" xfId="0" applyFont="1" applyFill="1" applyBorder="1" applyAlignment="1">
      <alignment horizontal="right"/>
    </xf>
    <xf numFmtId="3" fontId="0" fillId="6" borderId="0" xfId="0" applyNumberFormat="1" applyFill="1" applyBorder="1" applyAlignment="1">
      <alignment horizontal="center"/>
    </xf>
    <xf numFmtId="4" fontId="12" fillId="6" borderId="35" xfId="0" applyNumberFormat="1" applyFont="1" applyFill="1" applyBorder="1" applyAlignment="1">
      <alignment horizontal="left"/>
    </xf>
    <xf numFmtId="0" fontId="2" fillId="6" borderId="0" xfId="0" applyFont="1" applyFill="1" applyBorder="1"/>
    <xf numFmtId="166" fontId="1" fillId="3" borderId="98" xfId="1" applyNumberFormat="1" applyFont="1" applyFill="1" applyBorder="1"/>
    <xf numFmtId="3" fontId="1" fillId="0" borderId="99" xfId="0" applyNumberFormat="1" applyFont="1" applyBorder="1"/>
    <xf numFmtId="3" fontId="1" fillId="3" borderId="100" xfId="0" applyNumberFormat="1" applyFont="1" applyFill="1" applyBorder="1"/>
    <xf numFmtId="3" fontId="1" fillId="3" borderId="101" xfId="0" applyNumberFormat="1" applyFont="1" applyFill="1" applyBorder="1"/>
    <xf numFmtId="3" fontId="1" fillId="3" borderId="99" xfId="0" applyNumberFormat="1" applyFont="1" applyFill="1" applyBorder="1"/>
    <xf numFmtId="3" fontId="1" fillId="9" borderId="101" xfId="0" applyNumberFormat="1" applyFont="1" applyFill="1" applyBorder="1"/>
    <xf numFmtId="3" fontId="1" fillId="6" borderId="99" xfId="0" applyNumberFormat="1" applyFont="1" applyFill="1" applyBorder="1"/>
    <xf numFmtId="166" fontId="1" fillId="3" borderId="102" xfId="1" applyNumberFormat="1" applyFont="1" applyFill="1" applyBorder="1"/>
    <xf numFmtId="3" fontId="1" fillId="0" borderId="103" xfId="0" applyNumberFormat="1" applyFont="1" applyBorder="1"/>
    <xf numFmtId="3" fontId="1" fillId="3" borderId="104" xfId="0" applyNumberFormat="1" applyFont="1" applyFill="1" applyBorder="1"/>
    <xf numFmtId="3" fontId="1" fillId="3" borderId="37" xfId="0" applyNumberFormat="1" applyFont="1" applyFill="1" applyBorder="1"/>
    <xf numFmtId="3" fontId="1" fillId="3" borderId="103" xfId="0" applyNumberFormat="1" applyFont="1" applyFill="1" applyBorder="1"/>
    <xf numFmtId="3" fontId="1" fillId="9" borderId="37" xfId="0" applyNumberFormat="1" applyFont="1" applyFill="1" applyBorder="1"/>
    <xf numFmtId="3" fontId="1" fillId="6" borderId="103" xfId="0" applyNumberFormat="1" applyFont="1" applyFill="1" applyBorder="1"/>
    <xf numFmtId="166" fontId="1" fillId="3" borderId="105" xfId="1" applyNumberFormat="1" applyFont="1" applyFill="1" applyBorder="1"/>
    <xf numFmtId="166" fontId="1" fillId="3" borderId="106" xfId="1" applyNumberFormat="1" applyFont="1" applyFill="1" applyBorder="1"/>
    <xf numFmtId="3" fontId="1" fillId="0" borderId="80" xfId="0" applyNumberFormat="1" applyFont="1" applyBorder="1"/>
    <xf numFmtId="3" fontId="1" fillId="3" borderId="107" xfId="0" applyNumberFormat="1" applyFont="1" applyFill="1" applyBorder="1"/>
    <xf numFmtId="3" fontId="1" fillId="3" borderId="108" xfId="0" applyNumberFormat="1" applyFont="1" applyFill="1" applyBorder="1"/>
    <xf numFmtId="3" fontId="1" fillId="3" borderId="80" xfId="0" applyNumberFormat="1" applyFont="1" applyFill="1" applyBorder="1"/>
    <xf numFmtId="3" fontId="1" fillId="9" borderId="108" xfId="0" applyNumberFormat="1" applyFont="1" applyFill="1" applyBorder="1"/>
    <xf numFmtId="3" fontId="1" fillId="6" borderId="80" xfId="0" applyNumberFormat="1" applyFont="1" applyFill="1" applyBorder="1"/>
    <xf numFmtId="166" fontId="1" fillId="3" borderId="109" xfId="1" applyNumberFormat="1" applyFont="1" applyFill="1" applyBorder="1"/>
    <xf numFmtId="3" fontId="1" fillId="0" borderId="110" xfId="0" applyNumberFormat="1" applyFont="1" applyBorder="1"/>
    <xf numFmtId="3" fontId="1" fillId="3" borderId="111" xfId="0" applyNumberFormat="1" applyFont="1" applyFill="1" applyBorder="1"/>
    <xf numFmtId="3" fontId="1" fillId="3" borderId="36" xfId="0" applyNumberFormat="1" applyFont="1" applyFill="1" applyBorder="1"/>
    <xf numFmtId="3" fontId="1" fillId="3" borderId="110" xfId="0" applyNumberFormat="1" applyFont="1" applyFill="1" applyBorder="1"/>
    <xf numFmtId="3" fontId="1" fillId="9" borderId="36" xfId="0" applyNumberFormat="1" applyFont="1" applyFill="1" applyBorder="1"/>
    <xf numFmtId="3" fontId="1" fillId="6" borderId="110" xfId="0" applyNumberFormat="1" applyFont="1" applyFill="1" applyBorder="1"/>
    <xf numFmtId="0" fontId="38" fillId="0" borderId="0" xfId="0" applyFont="1" applyAlignment="1">
      <alignment horizontal="left" vertical="center"/>
    </xf>
    <xf numFmtId="0" fontId="0" fillId="3" borderId="0" xfId="0" applyFont="1" applyFill="1" applyBorder="1" applyAlignment="1">
      <alignment horizontal="right"/>
    </xf>
    <xf numFmtId="0" fontId="0" fillId="0" borderId="0" xfId="0" applyFont="1" applyFill="1" applyBorder="1" applyAlignment="1">
      <alignment horizontal="right"/>
    </xf>
    <xf numFmtId="0" fontId="9" fillId="0" borderId="0" xfId="0" applyFont="1" applyFill="1" applyBorder="1" applyAlignment="1">
      <alignment horizontal="right"/>
    </xf>
    <xf numFmtId="3" fontId="0" fillId="0" borderId="0" xfId="0" applyNumberFormat="1" applyFill="1" applyBorder="1" applyAlignment="1">
      <alignment horizontal="center"/>
    </xf>
    <xf numFmtId="4" fontId="12" fillId="0" borderId="35" xfId="0" applyNumberFormat="1" applyFont="1" applyFill="1" applyBorder="1" applyAlignment="1">
      <alignment horizontal="left"/>
    </xf>
    <xf numFmtId="0" fontId="12" fillId="0" borderId="0" xfId="0" applyFont="1" applyFill="1" applyBorder="1" applyAlignment="1">
      <alignment horizontal="right"/>
    </xf>
    <xf numFmtId="0" fontId="0" fillId="0" borderId="0" xfId="0" applyAlignment="1"/>
    <xf numFmtId="49" fontId="0" fillId="0" borderId="0" xfId="0" applyNumberFormat="1" applyAlignment="1">
      <alignment wrapText="1"/>
    </xf>
    <xf numFmtId="0" fontId="40" fillId="10" borderId="112" xfId="0" applyFont="1" applyFill="1" applyBorder="1" applyAlignment="1">
      <alignment horizontal="center" vertical="center" wrapText="1"/>
    </xf>
    <xf numFmtId="0" fontId="40" fillId="10" borderId="113" xfId="0" applyFont="1" applyFill="1" applyBorder="1" applyAlignment="1">
      <alignment horizontal="center" vertical="center" wrapText="1"/>
    </xf>
    <xf numFmtId="0" fontId="40" fillId="10" borderId="114" xfId="0" applyFont="1" applyFill="1" applyBorder="1" applyAlignment="1">
      <alignment horizontal="center" vertical="center" wrapText="1"/>
    </xf>
    <xf numFmtId="0" fontId="40" fillId="0" borderId="115" xfId="0" applyFont="1" applyBorder="1" applyAlignment="1">
      <alignment horizontal="center" vertical="center" wrapText="1"/>
    </xf>
    <xf numFmtId="0" fontId="40" fillId="0" borderId="116" xfId="0" applyFont="1" applyBorder="1" applyAlignment="1">
      <alignment horizontal="center" vertical="center" wrapText="1"/>
    </xf>
    <xf numFmtId="6" fontId="40" fillId="0" borderId="116" xfId="0" applyNumberFormat="1" applyFont="1" applyBorder="1" applyAlignment="1">
      <alignment horizontal="center" vertical="center" wrapText="1"/>
    </xf>
    <xf numFmtId="0" fontId="40" fillId="0" borderId="113" xfId="0" applyFont="1" applyBorder="1" applyAlignment="1">
      <alignment horizontal="center" vertical="center" wrapText="1"/>
    </xf>
    <xf numFmtId="0" fontId="40" fillId="0" borderId="117" xfId="0" applyFont="1" applyBorder="1" applyAlignment="1">
      <alignment horizontal="center" vertical="center" wrapText="1"/>
    </xf>
    <xf numFmtId="0" fontId="0" fillId="0" borderId="11" xfId="0" applyBorder="1" applyAlignment="1">
      <alignment horizontal="left"/>
    </xf>
    <xf numFmtId="0" fontId="0" fillId="0" borderId="0" xfId="0" applyFill="1" applyBorder="1" applyAlignment="1">
      <alignment horizontal="centerContinuous"/>
    </xf>
    <xf numFmtId="0" fontId="2" fillId="8" borderId="49" xfId="0" applyFont="1" applyFill="1" applyBorder="1" applyAlignment="1">
      <alignment horizontal="centerContinuous" wrapText="1"/>
    </xf>
    <xf numFmtId="0" fontId="2" fillId="0" borderId="50" xfId="0" applyFont="1" applyBorder="1" applyAlignment="1">
      <alignment horizontal="centerContinuous"/>
    </xf>
    <xf numFmtId="0" fontId="2" fillId="0" borderId="69" xfId="0" applyFont="1" applyBorder="1" applyAlignment="1">
      <alignment horizontal="centerContinuous"/>
    </xf>
    <xf numFmtId="0" fontId="2" fillId="0" borderId="119" xfId="0" applyFont="1" applyBorder="1" applyAlignment="1">
      <alignment horizontal="center"/>
    </xf>
    <xf numFmtId="0" fontId="2" fillId="0" borderId="30" xfId="0" applyFont="1" applyBorder="1" applyAlignment="1"/>
    <xf numFmtId="0" fontId="0" fillId="0" borderId="32" xfId="0" applyFill="1" applyBorder="1" applyAlignment="1">
      <alignment horizontal="centerContinuous"/>
    </xf>
    <xf numFmtId="3" fontId="0" fillId="0" borderId="0" xfId="0" applyNumberFormat="1" applyFill="1" applyBorder="1"/>
    <xf numFmtId="0" fontId="18" fillId="0" borderId="0" xfId="2" applyAlignment="1" applyProtection="1">
      <alignment horizontal="right"/>
    </xf>
    <xf numFmtId="0" fontId="28" fillId="0" borderId="0" xfId="0" applyFont="1"/>
    <xf numFmtId="0" fontId="15" fillId="0" borderId="0" xfId="0" applyFont="1" applyAlignment="1">
      <alignment vertical="top"/>
    </xf>
    <xf numFmtId="0" fontId="18" fillId="0" borderId="0" xfId="2" applyAlignment="1" applyProtection="1">
      <alignment horizontal="left" vertical="top" wrapText="1"/>
    </xf>
    <xf numFmtId="0" fontId="0" fillId="0" borderId="0" xfId="0" applyAlignment="1"/>
    <xf numFmtId="0" fontId="18" fillId="0" borderId="0" xfId="2" applyAlignment="1" applyProtection="1">
      <alignment horizontal="left" vertical="center"/>
    </xf>
    <xf numFmtId="0" fontId="0" fillId="0" borderId="0" xfId="0" applyAlignment="1">
      <alignment horizontal="left"/>
    </xf>
    <xf numFmtId="49" fontId="2" fillId="0" borderId="2" xfId="0" applyNumberFormat="1" applyFont="1" applyFill="1" applyBorder="1" applyAlignment="1">
      <alignment horizontal="center" vertical="center" wrapText="1"/>
    </xf>
    <xf numFmtId="49" fontId="2" fillId="0" borderId="6" xfId="0" applyNumberFormat="1" applyFont="1" applyFill="1" applyBorder="1" applyAlignment="1">
      <alignment horizontal="center" vertical="center" wrapText="1"/>
    </xf>
    <xf numFmtId="49" fontId="2" fillId="0" borderId="7" xfId="0" applyNumberFormat="1" applyFont="1" applyFill="1" applyBorder="1" applyAlignment="1">
      <alignment horizontal="center" vertical="center" wrapText="1"/>
    </xf>
    <xf numFmtId="49" fontId="2" fillId="0" borderId="50" xfId="0" applyNumberFormat="1" applyFont="1" applyFill="1" applyBorder="1" applyAlignment="1">
      <alignment horizontal="center" vertical="center" wrapText="1"/>
    </xf>
    <xf numFmtId="49" fontId="2" fillId="0" borderId="125" xfId="0" applyNumberFormat="1" applyFont="1" applyFill="1" applyBorder="1" applyAlignment="1">
      <alignment horizontal="center" vertical="center" wrapText="1"/>
    </xf>
    <xf numFmtId="49" fontId="2" fillId="0" borderId="42" xfId="0" applyNumberFormat="1" applyFont="1" applyFill="1" applyBorder="1" applyAlignment="1">
      <alignment horizontal="center" vertical="center" wrapText="1"/>
    </xf>
    <xf numFmtId="49" fontId="2" fillId="0" borderId="13" xfId="0" applyNumberFormat="1" applyFont="1" applyFill="1" applyBorder="1" applyAlignment="1">
      <alignment horizontal="center" vertical="center" wrapText="1"/>
    </xf>
    <xf numFmtId="49" fontId="2" fillId="0" borderId="43" xfId="0" applyNumberFormat="1" applyFont="1" applyFill="1" applyBorder="1" applyAlignment="1">
      <alignment horizontal="center" vertical="center" wrapText="1"/>
    </xf>
    <xf numFmtId="49" fontId="2" fillId="0" borderId="81" xfId="0" applyNumberFormat="1" applyFont="1" applyFill="1" applyBorder="1" applyAlignment="1">
      <alignment horizontal="center" vertical="center" wrapText="1"/>
    </xf>
    <xf numFmtId="49" fontId="2" fillId="0" borderId="46"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76" xfId="0" applyNumberFormat="1" applyFont="1" applyFill="1" applyBorder="1" applyAlignment="1">
      <alignment horizontal="center" vertical="center" wrapText="1"/>
    </xf>
    <xf numFmtId="49" fontId="2" fillId="0" borderId="40" xfId="0" applyNumberFormat="1" applyFont="1" applyFill="1" applyBorder="1" applyAlignment="1">
      <alignment horizontal="center" vertical="center" wrapText="1"/>
    </xf>
    <xf numFmtId="49" fontId="2" fillId="0" borderId="47" xfId="0" applyNumberFormat="1" applyFont="1" applyFill="1" applyBorder="1" applyAlignment="1">
      <alignment horizontal="center" vertical="center" wrapText="1"/>
    </xf>
    <xf numFmtId="49" fontId="2" fillId="0" borderId="41" xfId="0" applyNumberFormat="1"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45" xfId="0" applyNumberFormat="1" applyFont="1" applyFill="1" applyBorder="1" applyAlignment="1">
      <alignment horizontal="center" vertical="center" wrapText="1"/>
    </xf>
    <xf numFmtId="49" fontId="2" fillId="0" borderId="69" xfId="0" applyNumberFormat="1" applyFont="1" applyFill="1" applyBorder="1" applyAlignment="1">
      <alignment horizontal="center" vertical="center" wrapText="1"/>
    </xf>
    <xf numFmtId="49" fontId="2" fillId="0" borderId="64" xfId="0" applyNumberFormat="1" applyFont="1" applyFill="1" applyBorder="1" applyAlignment="1">
      <alignment horizontal="center" vertical="center" wrapText="1"/>
    </xf>
    <xf numFmtId="49" fontId="2" fillId="0" borderId="1" xfId="0" quotePrefix="1"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2" fillId="0" borderId="74" xfId="0" applyNumberFormat="1" applyFont="1" applyFill="1" applyBorder="1" applyAlignment="1">
      <alignment horizontal="center" vertical="center" wrapText="1"/>
    </xf>
    <xf numFmtId="49" fontId="2" fillId="0" borderId="119" xfId="0" applyNumberFormat="1" applyFont="1" applyFill="1" applyBorder="1" applyAlignment="1">
      <alignment horizontal="center" vertical="center" wrapText="1"/>
    </xf>
    <xf numFmtId="49" fontId="2" fillId="0" borderId="60" xfId="0" applyNumberFormat="1" applyFont="1" applyFill="1" applyBorder="1" applyAlignment="1">
      <alignment horizontal="center" vertical="center" wrapText="1"/>
    </xf>
    <xf numFmtId="49" fontId="2" fillId="0" borderId="70" xfId="0" applyNumberFormat="1" applyFont="1" applyFill="1" applyBorder="1" applyAlignment="1">
      <alignment horizontal="center" vertical="center" wrapText="1"/>
    </xf>
    <xf numFmtId="49" fontId="2" fillId="0" borderId="2" xfId="0" quotePrefix="1" applyNumberFormat="1" applyFont="1" applyFill="1" applyBorder="1" applyAlignment="1">
      <alignment horizontal="center" vertical="center" wrapText="1"/>
    </xf>
    <xf numFmtId="49" fontId="2" fillId="0" borderId="6" xfId="0" quotePrefix="1" applyNumberFormat="1" applyFont="1" applyFill="1" applyBorder="1" applyAlignment="1">
      <alignment horizontal="center" vertical="center" wrapText="1"/>
    </xf>
    <xf numFmtId="49" fontId="36" fillId="11" borderId="48" xfId="0" applyNumberFormat="1" applyFont="1" applyFill="1" applyBorder="1" applyAlignment="1">
      <alignment horizontal="center" vertical="center" wrapText="1"/>
    </xf>
    <xf numFmtId="49" fontId="36" fillId="11" borderId="65" xfId="0" applyNumberFormat="1" applyFont="1" applyFill="1" applyBorder="1" applyAlignment="1">
      <alignment horizontal="center" vertical="center" wrapText="1"/>
    </xf>
    <xf numFmtId="49" fontId="36" fillId="11" borderId="122" xfId="0" applyNumberFormat="1" applyFont="1" applyFill="1" applyBorder="1" applyAlignment="1">
      <alignment horizontal="center" vertical="center" wrapText="1"/>
    </xf>
    <xf numFmtId="49" fontId="36" fillId="11" borderId="2" xfId="0" applyNumberFormat="1" applyFont="1" applyFill="1" applyBorder="1" applyAlignment="1">
      <alignment horizontal="center" vertical="center" wrapText="1"/>
    </xf>
    <xf numFmtId="49" fontId="2" fillId="0" borderId="11" xfId="0" applyNumberFormat="1" applyFont="1" applyFill="1" applyBorder="1" applyAlignment="1">
      <alignment horizontal="center" vertical="center" wrapText="1"/>
    </xf>
    <xf numFmtId="49" fontId="2" fillId="0" borderId="121" xfId="0" applyNumberFormat="1" applyFont="1" applyFill="1" applyBorder="1" applyAlignment="1">
      <alignment horizontal="center" vertical="center" wrapText="1"/>
    </xf>
    <xf numFmtId="49" fontId="2" fillId="0" borderId="67" xfId="0" applyNumberFormat="1" applyFont="1" applyFill="1" applyBorder="1" applyAlignment="1">
      <alignment horizontal="center" vertical="center" wrapText="1"/>
    </xf>
    <xf numFmtId="49" fontId="41" fillId="0" borderId="64" xfId="0" applyNumberFormat="1" applyFont="1" applyBorder="1" applyAlignment="1">
      <alignment horizontal="left" wrapText="1"/>
    </xf>
    <xf numFmtId="49" fontId="2" fillId="0" borderId="14" xfId="0" applyNumberFormat="1" applyFont="1" applyFill="1" applyBorder="1" applyAlignment="1">
      <alignment horizontal="center" vertical="center" wrapText="1"/>
    </xf>
    <xf numFmtId="0" fontId="37" fillId="3" borderId="27" xfId="0" applyFont="1" applyFill="1" applyBorder="1" applyAlignment="1">
      <alignment horizontal="center" vertical="center" wrapText="1"/>
    </xf>
    <xf numFmtId="14" fontId="2" fillId="7" borderId="95" xfId="0" applyNumberFormat="1" applyFont="1" applyFill="1" applyBorder="1" applyAlignment="1" applyProtection="1">
      <alignment horizontal="right"/>
      <protection locked="0"/>
    </xf>
    <xf numFmtId="0" fontId="0" fillId="7" borderId="96" xfId="0" applyFill="1" applyBorder="1" applyAlignment="1" applyProtection="1">
      <alignment horizontal="right"/>
      <protection locked="0"/>
    </xf>
    <xf numFmtId="0" fontId="0" fillId="7" borderId="97" xfId="0" applyFill="1" applyBorder="1" applyAlignment="1" applyProtection="1">
      <alignment horizontal="right"/>
      <protection locked="0"/>
    </xf>
    <xf numFmtId="2" fontId="2" fillId="7" borderId="73" xfId="0" applyNumberFormat="1" applyFont="1" applyFill="1" applyBorder="1" applyAlignment="1" applyProtection="1">
      <alignment horizontal="right"/>
      <protection locked="0"/>
    </xf>
    <xf numFmtId="0" fontId="0" fillId="7" borderId="88" xfId="0" applyFill="1" applyBorder="1" applyAlignment="1" applyProtection="1">
      <protection locked="0"/>
    </xf>
    <xf numFmtId="0" fontId="0" fillId="7" borderId="89" xfId="0" applyFill="1" applyBorder="1" applyAlignment="1" applyProtection="1">
      <protection locked="0"/>
    </xf>
    <xf numFmtId="0" fontId="0" fillId="7" borderId="92" xfId="0" applyFill="1" applyBorder="1" applyAlignment="1" applyProtection="1">
      <protection locked="0"/>
    </xf>
    <xf numFmtId="0" fontId="0" fillId="7" borderId="93" xfId="0" applyFill="1" applyBorder="1" applyAlignment="1" applyProtection="1">
      <protection locked="0"/>
    </xf>
    <xf numFmtId="0" fontId="0" fillId="7" borderId="94" xfId="0" applyFill="1" applyBorder="1" applyAlignment="1" applyProtection="1">
      <protection locked="0"/>
    </xf>
    <xf numFmtId="0" fontId="6" fillId="0" borderId="40" xfId="0" applyFont="1" applyBorder="1" applyAlignment="1">
      <alignment horizontal="center"/>
    </xf>
    <xf numFmtId="0" fontId="6" fillId="0" borderId="47" xfId="0" applyFont="1" applyBorder="1" applyAlignment="1">
      <alignment horizontal="center"/>
    </xf>
    <xf numFmtId="0" fontId="6" fillId="0" borderId="42" xfId="0" applyFont="1" applyBorder="1" applyAlignment="1">
      <alignment horizontal="center"/>
    </xf>
    <xf numFmtId="0" fontId="29" fillId="7" borderId="40" xfId="0" applyFont="1" applyFill="1" applyBorder="1" applyAlignment="1" applyProtection="1">
      <alignment horizontal="left"/>
      <protection locked="0"/>
    </xf>
    <xf numFmtId="0" fontId="29" fillId="7" borderId="47" xfId="0" applyFont="1" applyFill="1" applyBorder="1" applyAlignment="1" applyProtection="1">
      <alignment horizontal="left"/>
      <protection locked="0"/>
    </xf>
    <xf numFmtId="0" fontId="29" fillId="7" borderId="42" xfId="0" applyFont="1" applyFill="1" applyBorder="1" applyAlignment="1" applyProtection="1">
      <alignment horizontal="left"/>
      <protection locked="0"/>
    </xf>
    <xf numFmtId="0" fontId="29" fillId="7" borderId="44" xfId="0" applyFont="1" applyFill="1" applyBorder="1" applyAlignment="1" applyProtection="1">
      <alignment horizontal="left"/>
      <protection locked="0"/>
    </xf>
    <xf numFmtId="0" fontId="29" fillId="7" borderId="45" xfId="0" applyFont="1" applyFill="1" applyBorder="1" applyAlignment="1" applyProtection="1">
      <alignment horizontal="left"/>
      <protection locked="0"/>
    </xf>
    <xf numFmtId="0" fontId="29" fillId="7" borderId="46" xfId="0" applyFont="1" applyFill="1" applyBorder="1" applyAlignment="1" applyProtection="1">
      <alignment horizontal="left"/>
      <protection locked="0"/>
    </xf>
    <xf numFmtId="49" fontId="34" fillId="7" borderId="40" xfId="0" applyNumberFormat="1" applyFont="1" applyFill="1" applyBorder="1" applyAlignment="1" applyProtection="1">
      <alignment horizontal="left"/>
      <protection locked="0"/>
    </xf>
    <xf numFmtId="49" fontId="34" fillId="7" borderId="42" xfId="0" applyNumberFormat="1" applyFont="1" applyFill="1" applyBorder="1" applyAlignment="1" applyProtection="1">
      <alignment horizontal="left"/>
      <protection locked="0"/>
    </xf>
    <xf numFmtId="49" fontId="34" fillId="7" borderId="44" xfId="0" applyNumberFormat="1" applyFont="1" applyFill="1" applyBorder="1" applyAlignment="1" applyProtection="1">
      <alignment horizontal="left"/>
      <protection locked="0"/>
    </xf>
    <xf numFmtId="49" fontId="34" fillId="7" borderId="46" xfId="0" applyNumberFormat="1" applyFont="1" applyFill="1" applyBorder="1" applyAlignment="1" applyProtection="1">
      <alignment horizontal="left"/>
      <protection locked="0"/>
    </xf>
    <xf numFmtId="0" fontId="12" fillId="7" borderId="73" xfId="0" applyFont="1" applyFill="1" applyBorder="1" applyAlignment="1" applyProtection="1">
      <alignment horizontal="left" vertical="top" wrapText="1"/>
      <protection locked="0"/>
    </xf>
    <xf numFmtId="0" fontId="12" fillId="7" borderId="88" xfId="0" applyFont="1" applyFill="1" applyBorder="1" applyAlignment="1" applyProtection="1">
      <alignment horizontal="left" vertical="top" wrapText="1"/>
      <protection locked="0"/>
    </xf>
    <xf numFmtId="0" fontId="12" fillId="7" borderId="89" xfId="0" applyFont="1" applyFill="1" applyBorder="1" applyAlignment="1" applyProtection="1">
      <alignment horizontal="left" vertical="top" wrapText="1"/>
      <protection locked="0"/>
    </xf>
    <xf numFmtId="0" fontId="12" fillId="7" borderId="90" xfId="0" applyFont="1" applyFill="1" applyBorder="1" applyAlignment="1" applyProtection="1">
      <alignment horizontal="left" vertical="top" wrapText="1"/>
      <protection locked="0"/>
    </xf>
    <xf numFmtId="0" fontId="12" fillId="7" borderId="0" xfId="0" applyFont="1" applyFill="1" applyBorder="1" applyAlignment="1" applyProtection="1">
      <alignment horizontal="left" vertical="top" wrapText="1"/>
      <protection locked="0"/>
    </xf>
    <xf numFmtId="0" fontId="12" fillId="7" borderId="91" xfId="0" applyFont="1" applyFill="1" applyBorder="1" applyAlignment="1" applyProtection="1">
      <alignment horizontal="left" vertical="top" wrapText="1"/>
      <protection locked="0"/>
    </xf>
    <xf numFmtId="0" fontId="12" fillId="7" borderId="92" xfId="0" applyFont="1" applyFill="1" applyBorder="1" applyAlignment="1" applyProtection="1">
      <alignment horizontal="left" vertical="top" wrapText="1"/>
      <protection locked="0"/>
    </xf>
    <xf numFmtId="0" fontId="12" fillId="7" borderId="93" xfId="0" applyFont="1" applyFill="1" applyBorder="1" applyAlignment="1" applyProtection="1">
      <alignment horizontal="left" vertical="top" wrapText="1"/>
      <protection locked="0"/>
    </xf>
    <xf numFmtId="0" fontId="12" fillId="7" borderId="94" xfId="0" applyFont="1" applyFill="1" applyBorder="1" applyAlignment="1" applyProtection="1">
      <alignment horizontal="left" vertical="top" wrapText="1"/>
      <protection locked="0"/>
    </xf>
    <xf numFmtId="0" fontId="33" fillId="7" borderId="40" xfId="0" applyFont="1" applyFill="1" applyBorder="1" applyAlignment="1" applyProtection="1">
      <alignment horizontal="center"/>
      <protection locked="0"/>
    </xf>
    <xf numFmtId="0" fontId="33" fillId="7" borderId="47" xfId="0" applyFont="1" applyFill="1" applyBorder="1" applyAlignment="1" applyProtection="1">
      <alignment horizontal="center"/>
      <protection locked="0"/>
    </xf>
    <xf numFmtId="0" fontId="33" fillId="7" borderId="42" xfId="0" applyFont="1" applyFill="1" applyBorder="1" applyAlignment="1" applyProtection="1">
      <alignment horizontal="center"/>
      <protection locked="0"/>
    </xf>
    <xf numFmtId="0" fontId="33" fillId="7" borderId="44" xfId="0" applyFont="1" applyFill="1" applyBorder="1" applyAlignment="1" applyProtection="1">
      <alignment horizontal="center"/>
      <protection locked="0"/>
    </xf>
    <xf numFmtId="0" fontId="33" fillId="7" borderId="45" xfId="0" applyFont="1" applyFill="1" applyBorder="1" applyAlignment="1" applyProtection="1">
      <alignment horizontal="center"/>
      <protection locked="0"/>
    </xf>
    <xf numFmtId="0" fontId="33" fillId="7" borderId="46" xfId="0" applyFont="1" applyFill="1" applyBorder="1" applyAlignment="1" applyProtection="1">
      <alignment horizontal="center"/>
      <protection locked="0"/>
    </xf>
    <xf numFmtId="49" fontId="36" fillId="11" borderId="12" xfId="0" applyNumberFormat="1" applyFont="1" applyFill="1" applyBorder="1" applyAlignment="1">
      <alignment horizontal="center" vertical="center" wrapText="1"/>
    </xf>
    <xf numFmtId="49" fontId="36" fillId="11" borderId="74" xfId="0" applyNumberFormat="1" applyFont="1" applyFill="1" applyBorder="1" applyAlignment="1">
      <alignment horizontal="center" vertical="center" wrapText="1"/>
    </xf>
    <xf numFmtId="49" fontId="2" fillId="0" borderId="120" xfId="0" applyNumberFormat="1" applyFont="1" applyFill="1" applyBorder="1" applyAlignment="1">
      <alignment horizontal="center" vertical="center" wrapText="1"/>
    </xf>
    <xf numFmtId="49" fontId="2" fillId="0" borderId="23" xfId="0" applyNumberFormat="1" applyFont="1" applyFill="1" applyBorder="1" applyAlignment="1">
      <alignment horizontal="center" vertical="center" wrapText="1"/>
    </xf>
    <xf numFmtId="49" fontId="2" fillId="0" borderId="123" xfId="0" quotePrefix="1" applyNumberFormat="1" applyFont="1" applyFill="1" applyBorder="1" applyAlignment="1">
      <alignment horizontal="center" vertical="center" wrapText="1"/>
    </xf>
    <xf numFmtId="49" fontId="2" fillId="0" borderId="123" xfId="0" applyNumberFormat="1" applyFont="1" applyFill="1" applyBorder="1" applyAlignment="1">
      <alignment horizontal="center" vertical="center" wrapText="1"/>
    </xf>
    <xf numFmtId="49" fontId="2" fillId="0" borderId="124" xfId="0" applyNumberFormat="1" applyFont="1" applyFill="1" applyBorder="1" applyAlignment="1">
      <alignment horizontal="center" vertical="center" wrapText="1"/>
    </xf>
    <xf numFmtId="0" fontId="12" fillId="7" borderId="0" xfId="0" applyFont="1" applyFill="1" applyAlignment="1" applyProtection="1">
      <alignment horizontal="left" vertical="top" wrapText="1"/>
      <protection locked="0"/>
    </xf>
    <xf numFmtId="0" fontId="33" fillId="7" borderId="40" xfId="0" applyFont="1" applyFill="1" applyBorder="1" applyAlignment="1" applyProtection="1">
      <alignment horizontal="left"/>
      <protection locked="0"/>
    </xf>
    <xf numFmtId="0" fontId="33" fillId="7" borderId="47" xfId="0" applyFont="1" applyFill="1" applyBorder="1" applyAlignment="1" applyProtection="1">
      <alignment horizontal="left"/>
      <protection locked="0"/>
    </xf>
    <xf numFmtId="0" fontId="33" fillId="7" borderId="42" xfId="0" applyFont="1" applyFill="1" applyBorder="1" applyAlignment="1" applyProtection="1">
      <alignment horizontal="left"/>
      <protection locked="0"/>
    </xf>
    <xf numFmtId="0" fontId="33" fillId="7" borderId="44" xfId="0" applyFont="1" applyFill="1" applyBorder="1" applyAlignment="1" applyProtection="1">
      <alignment horizontal="left"/>
      <protection locked="0"/>
    </xf>
    <xf numFmtId="0" fontId="33" fillId="7" borderId="45" xfId="0" applyFont="1" applyFill="1" applyBorder="1" applyAlignment="1" applyProtection="1">
      <alignment horizontal="left"/>
      <protection locked="0"/>
    </xf>
    <xf numFmtId="0" fontId="33" fillId="7" borderId="46" xfId="0" applyFont="1" applyFill="1" applyBorder="1" applyAlignment="1" applyProtection="1">
      <alignment horizontal="left"/>
      <protection locked="0"/>
    </xf>
    <xf numFmtId="0" fontId="32" fillId="7" borderId="40" xfId="0" applyFont="1" applyFill="1" applyBorder="1" applyAlignment="1" applyProtection="1">
      <alignment horizontal="left"/>
      <protection locked="0"/>
    </xf>
    <xf numFmtId="0" fontId="32" fillId="7" borderId="47" xfId="0" applyFont="1" applyFill="1" applyBorder="1" applyAlignment="1" applyProtection="1">
      <alignment horizontal="left"/>
      <protection locked="0"/>
    </xf>
    <xf numFmtId="0" fontId="32" fillId="7" borderId="42" xfId="0" applyFont="1" applyFill="1" applyBorder="1" applyAlignment="1" applyProtection="1">
      <alignment horizontal="left"/>
      <protection locked="0"/>
    </xf>
    <xf numFmtId="0" fontId="32" fillId="7" borderId="44" xfId="0" applyFont="1" applyFill="1" applyBorder="1" applyAlignment="1" applyProtection="1">
      <alignment horizontal="left"/>
      <protection locked="0"/>
    </xf>
    <xf numFmtId="0" fontId="32" fillId="7" borderId="45" xfId="0" applyFont="1" applyFill="1" applyBorder="1" applyAlignment="1" applyProtection="1">
      <alignment horizontal="left"/>
      <protection locked="0"/>
    </xf>
    <xf numFmtId="0" fontId="32" fillId="7" borderId="46" xfId="0" applyFont="1" applyFill="1" applyBorder="1" applyAlignment="1" applyProtection="1">
      <alignment horizontal="left"/>
      <protection locked="0"/>
    </xf>
    <xf numFmtId="49" fontId="35" fillId="7" borderId="40" xfId="0" applyNumberFormat="1" applyFont="1" applyFill="1" applyBorder="1" applyAlignment="1">
      <alignment horizontal="left"/>
    </xf>
    <xf numFmtId="49" fontId="35" fillId="7" borderId="42" xfId="0" applyNumberFormat="1" applyFont="1" applyFill="1" applyBorder="1" applyAlignment="1">
      <alignment horizontal="left"/>
    </xf>
    <xf numFmtId="49" fontId="35" fillId="7" borderId="44" xfId="0" applyNumberFormat="1" applyFont="1" applyFill="1" applyBorder="1" applyAlignment="1">
      <alignment horizontal="left"/>
    </xf>
    <xf numFmtId="49" fontId="35" fillId="7" borderId="46" xfId="0" applyNumberFormat="1" applyFont="1" applyFill="1" applyBorder="1" applyAlignment="1">
      <alignment horizontal="left"/>
    </xf>
    <xf numFmtId="0" fontId="12" fillId="7" borderId="88" xfId="0" applyFont="1" applyFill="1" applyBorder="1" applyAlignment="1" applyProtection="1">
      <alignment wrapText="1"/>
      <protection locked="0"/>
    </xf>
    <xf numFmtId="0" fontId="12" fillId="7" borderId="89" xfId="0" applyFont="1" applyFill="1" applyBorder="1" applyAlignment="1" applyProtection="1">
      <alignment wrapText="1"/>
      <protection locked="0"/>
    </xf>
    <xf numFmtId="0" fontId="12" fillId="7" borderId="0" xfId="0" applyFont="1" applyFill="1" applyAlignment="1" applyProtection="1">
      <alignment wrapText="1"/>
      <protection locked="0"/>
    </xf>
    <xf numFmtId="0" fontId="12" fillId="7" borderId="91" xfId="0" applyFont="1" applyFill="1" applyBorder="1" applyAlignment="1" applyProtection="1">
      <alignment wrapText="1"/>
      <protection locked="0"/>
    </xf>
    <xf numFmtId="0" fontId="12" fillId="7" borderId="93" xfId="0" applyFont="1" applyFill="1" applyBorder="1" applyAlignment="1" applyProtection="1">
      <alignment wrapText="1"/>
      <protection locked="0"/>
    </xf>
    <xf numFmtId="0" fontId="12" fillId="7" borderId="94" xfId="0" applyFont="1" applyFill="1" applyBorder="1" applyAlignment="1" applyProtection="1">
      <alignment wrapText="1"/>
      <protection locked="0"/>
    </xf>
    <xf numFmtId="49" fontId="32" fillId="7" borderId="40" xfId="0" applyNumberFormat="1" applyFont="1" applyFill="1" applyBorder="1" applyAlignment="1" applyProtection="1">
      <alignment horizontal="left"/>
      <protection locked="0"/>
    </xf>
    <xf numFmtId="49" fontId="32" fillId="7" borderId="42" xfId="0" applyNumberFormat="1" applyFont="1" applyFill="1" applyBorder="1" applyAlignment="1" applyProtection="1">
      <alignment horizontal="left"/>
      <protection locked="0"/>
    </xf>
    <xf numFmtId="49" fontId="32" fillId="7" borderId="44" xfId="0" applyNumberFormat="1" applyFont="1" applyFill="1" applyBorder="1" applyAlignment="1" applyProtection="1">
      <alignment horizontal="left"/>
      <protection locked="0"/>
    </xf>
    <xf numFmtId="49" fontId="32" fillId="7" borderId="46" xfId="0" applyNumberFormat="1" applyFont="1" applyFill="1" applyBorder="1" applyAlignment="1" applyProtection="1">
      <alignment horizontal="left"/>
      <protection locked="0"/>
    </xf>
    <xf numFmtId="0" fontId="0" fillId="5" borderId="0" xfId="0" applyFill="1" applyAlignment="1">
      <alignment vertical="top" wrapText="1"/>
    </xf>
    <xf numFmtId="0" fontId="26" fillId="5" borderId="0" xfId="0" applyFont="1" applyFill="1" applyAlignment="1">
      <alignment vertical="top" wrapText="1"/>
    </xf>
    <xf numFmtId="0" fontId="8" fillId="5" borderId="0" xfId="0" applyFont="1" applyFill="1" applyAlignment="1">
      <alignment vertical="top" wrapText="1"/>
    </xf>
    <xf numFmtId="0" fontId="0" fillId="5" borderId="0" xfId="0" applyFill="1" applyBorder="1" applyAlignment="1">
      <alignment horizontal="left" vertical="top" wrapText="1"/>
    </xf>
    <xf numFmtId="0" fontId="30" fillId="0" borderId="0" xfId="0" applyNumberFormat="1" applyFont="1" applyAlignment="1">
      <alignment horizontal="left" wrapText="1"/>
    </xf>
    <xf numFmtId="0" fontId="0" fillId="5" borderId="0" xfId="0" applyFill="1" applyBorder="1" applyAlignment="1"/>
    <xf numFmtId="0" fontId="20" fillId="5" borderId="45" xfId="0" applyFont="1" applyFill="1" applyBorder="1" applyAlignment="1"/>
    <xf numFmtId="0" fontId="0" fillId="0" borderId="45" xfId="0" applyBorder="1" applyAlignment="1"/>
    <xf numFmtId="0" fontId="18" fillId="5" borderId="0" xfId="2" applyFill="1" applyBorder="1" applyAlignment="1" applyProtection="1"/>
    <xf numFmtId="0" fontId="18" fillId="0" borderId="45" xfId="2" applyBorder="1" applyAlignment="1" applyProtection="1"/>
    <xf numFmtId="0" fontId="0" fillId="5" borderId="0" xfId="0" applyFill="1" applyBorder="1" applyAlignment="1">
      <alignment horizontal="center" vertical="center" wrapText="1"/>
    </xf>
    <xf numFmtId="0" fontId="0" fillId="5" borderId="0" xfId="0" applyFill="1"/>
    <xf numFmtId="0" fontId="0" fillId="5" borderId="0" xfId="0" applyFill="1" applyAlignment="1">
      <alignment vertical="top"/>
    </xf>
    <xf numFmtId="0" fontId="0" fillId="5" borderId="0" xfId="0" applyFill="1" applyAlignment="1"/>
    <xf numFmtId="0" fontId="25" fillId="5" borderId="0" xfId="2" applyFont="1" applyFill="1" applyAlignment="1" applyProtection="1">
      <alignment vertical="top" wrapText="1"/>
    </xf>
    <xf numFmtId="0" fontId="0" fillId="5" borderId="0" xfId="0" applyFill="1" applyBorder="1" applyAlignment="1">
      <alignment vertical="top" wrapText="1"/>
    </xf>
    <xf numFmtId="0" fontId="0" fillId="0" borderId="0" xfId="0" applyBorder="1" applyAlignment="1">
      <alignment wrapText="1"/>
    </xf>
    <xf numFmtId="0" fontId="18" fillId="5" borderId="0" xfId="2" applyFont="1" applyFill="1" applyAlignment="1" applyProtection="1">
      <alignment vertical="top" wrapText="1"/>
    </xf>
    <xf numFmtId="0" fontId="0" fillId="0" borderId="0" xfId="0" applyAlignment="1">
      <alignment vertical="top" wrapText="1"/>
    </xf>
    <xf numFmtId="0" fontId="0" fillId="0" borderId="0" xfId="0" applyBorder="1" applyAlignment="1">
      <alignment vertical="top" wrapText="1"/>
    </xf>
    <xf numFmtId="0" fontId="2" fillId="5" borderId="0" xfId="0" applyFont="1" applyFill="1" applyAlignment="1">
      <alignment horizontal="left" vertical="top" wrapText="1"/>
    </xf>
    <xf numFmtId="0" fontId="2" fillId="5" borderId="0" xfId="0" applyFont="1" applyFill="1" applyBorder="1" applyAlignment="1">
      <alignment vertical="top" wrapText="1"/>
    </xf>
    <xf numFmtId="0" fontId="21" fillId="5" borderId="0" xfId="2" applyFont="1" applyFill="1" applyBorder="1" applyAlignment="1" applyProtection="1"/>
    <xf numFmtId="0" fontId="12" fillId="5" borderId="0" xfId="0" applyFont="1" applyFill="1" applyBorder="1" applyAlignment="1">
      <alignment horizontal="left" vertical="top" wrapText="1"/>
    </xf>
    <xf numFmtId="0" fontId="0" fillId="0" borderId="0" xfId="0" applyAlignment="1">
      <alignment wrapText="1"/>
    </xf>
    <xf numFmtId="0" fontId="23" fillId="5" borderId="0" xfId="2" applyFont="1" applyFill="1" applyBorder="1" applyAlignment="1" applyProtection="1">
      <alignment horizontal="left" vertical="center"/>
    </xf>
    <xf numFmtId="0" fontId="0" fillId="0" borderId="0" xfId="0" applyBorder="1" applyAlignment="1"/>
    <xf numFmtId="0" fontId="25" fillId="5" borderId="0" xfId="2" applyFont="1" applyFill="1" applyBorder="1" applyAlignment="1" applyProtection="1">
      <alignment vertical="top" wrapText="1"/>
    </xf>
    <xf numFmtId="0" fontId="0" fillId="0" borderId="85" xfId="0" applyBorder="1" applyAlignment="1">
      <alignment horizontal="center"/>
    </xf>
    <xf numFmtId="0" fontId="0" fillId="0" borderId="87" xfId="0" applyBorder="1" applyAlignment="1">
      <alignment horizontal="center"/>
    </xf>
    <xf numFmtId="0" fontId="0" fillId="0" borderId="86" xfId="0" applyBorder="1" applyAlignment="1">
      <alignment horizontal="center"/>
    </xf>
    <xf numFmtId="49" fontId="24" fillId="0" borderId="0" xfId="0" applyNumberFormat="1" applyFont="1" applyAlignment="1">
      <alignment horizontal="left" wrapText="1"/>
    </xf>
    <xf numFmtId="0" fontId="18" fillId="0" borderId="0" xfId="2" applyAlignment="1" applyProtection="1">
      <alignment horizontal="left"/>
    </xf>
    <xf numFmtId="0" fontId="40" fillId="0" borderId="118" xfId="0" applyFont="1" applyBorder="1" applyAlignment="1">
      <alignment horizontal="center" vertical="center" wrapText="1"/>
    </xf>
    <xf numFmtId="0" fontId="40" fillId="0" borderId="115" xfId="0" applyFont="1" applyBorder="1" applyAlignment="1">
      <alignment horizontal="center" vertical="center" wrapText="1"/>
    </xf>
  </cellXfs>
  <cellStyles count="18">
    <cellStyle name="Comma" xfId="1" builtinId="3"/>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Hyperlink" xfId="2" builtinId="8"/>
    <cellStyle name="Normal" xfId="0" builtinId="0"/>
  </cellStyles>
  <dxfs count="3">
    <dxf>
      <font>
        <b/>
        <i val="0"/>
        <condense val="0"/>
        <extend val="0"/>
        <color indexed="10"/>
      </font>
    </dxf>
    <dxf>
      <font>
        <b/>
        <i val="0"/>
        <condense val="0"/>
        <extend val="0"/>
        <color indexed="10"/>
      </font>
    </dxf>
    <dxf>
      <font>
        <b/>
        <i val="0"/>
        <condense val="0"/>
        <extend val="0"/>
        <color indexed="10"/>
      </font>
    </dxf>
  </dxfs>
  <tableStyles count="0" defaultTableStyle="TableStyleMedium2"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1" Type="http://schemas.openxmlformats.org/officeDocument/2006/relationships/styles" Target="styles.xml"/><Relationship Id="rId12" Type="http://schemas.openxmlformats.org/officeDocument/2006/relationships/sharedStrings" Target="sharedStrings.xml"/><Relationship Id="rId13"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hyperlink" Target="#GenlInstr!A19:A30"/><Relationship Id="rId2" Type="http://schemas.openxmlformats.org/officeDocument/2006/relationships/hyperlink" Target="#GenlInstr!E6"/></Relationships>
</file>

<file path=xl/drawings/drawing1.xml><?xml version="1.0" encoding="utf-8"?>
<xdr:wsDr xmlns:xdr="http://schemas.openxmlformats.org/drawingml/2006/spreadsheetDrawing" xmlns:a="http://schemas.openxmlformats.org/drawingml/2006/main">
  <xdr:twoCellAnchor>
    <xdr:from>
      <xdr:col>2</xdr:col>
      <xdr:colOff>304800</xdr:colOff>
      <xdr:row>23</xdr:row>
      <xdr:rowOff>63500</xdr:rowOff>
    </xdr:from>
    <xdr:to>
      <xdr:col>2</xdr:col>
      <xdr:colOff>533400</xdr:colOff>
      <xdr:row>26</xdr:row>
      <xdr:rowOff>152400</xdr:rowOff>
    </xdr:to>
    <xdr:sp macro="" textlink="">
      <xdr:nvSpPr>
        <xdr:cNvPr id="1136" name="AutoShape 33"/>
        <xdr:cNvSpPr>
          <a:spLocks/>
        </xdr:cNvSpPr>
      </xdr:nvSpPr>
      <xdr:spPr bwMode="auto">
        <a:xfrm>
          <a:off x="1320800" y="36322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1</xdr:col>
      <xdr:colOff>615950</xdr:colOff>
      <xdr:row>24</xdr:row>
      <xdr:rowOff>76200</xdr:rowOff>
    </xdr:from>
    <xdr:to>
      <xdr:col>2</xdr:col>
      <xdr:colOff>243332</xdr:colOff>
      <xdr:row>26</xdr:row>
      <xdr:rowOff>28575</xdr:rowOff>
    </xdr:to>
    <xdr:sp macro="" textlink="">
      <xdr:nvSpPr>
        <xdr:cNvPr id="1059" name="WordArt 35"/>
        <xdr:cNvSpPr>
          <a:spLocks noChangeArrowheads="1" noChangeShapeType="1" noTextEdit="1"/>
        </xdr:cNvSpPr>
      </xdr:nvSpPr>
      <xdr:spPr bwMode="auto">
        <a:xfrm>
          <a:off x="866775" y="3962400"/>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5</xdr:col>
      <xdr:colOff>63500</xdr:colOff>
      <xdr:row>32</xdr:row>
      <xdr:rowOff>63500</xdr:rowOff>
    </xdr:from>
    <xdr:to>
      <xdr:col>5</xdr:col>
      <xdr:colOff>215900</xdr:colOff>
      <xdr:row>34</xdr:row>
      <xdr:rowOff>101600</xdr:rowOff>
    </xdr:to>
    <xdr:sp macro="" textlink="">
      <xdr:nvSpPr>
        <xdr:cNvPr id="1138" name="AutoShape 37"/>
        <xdr:cNvSpPr>
          <a:spLocks/>
        </xdr:cNvSpPr>
      </xdr:nvSpPr>
      <xdr:spPr bwMode="auto">
        <a:xfrm>
          <a:off x="3543300" y="5143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5</xdr:col>
      <xdr:colOff>254000</xdr:colOff>
      <xdr:row>33</xdr:row>
      <xdr:rowOff>0</xdr:rowOff>
    </xdr:from>
    <xdr:to>
      <xdr:col>5</xdr:col>
      <xdr:colOff>508000</xdr:colOff>
      <xdr:row>33</xdr:row>
      <xdr:rowOff>127000</xdr:rowOff>
    </xdr:to>
    <xdr:sp macro="" textlink="">
      <xdr:nvSpPr>
        <xdr:cNvPr id="1139" name="AutoShape 40"/>
        <xdr:cNvSpPr>
          <a:spLocks noChangeArrowheads="1"/>
        </xdr:cNvSpPr>
      </xdr:nvSpPr>
      <xdr:spPr bwMode="auto">
        <a:xfrm>
          <a:off x="3733800" y="5232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twoCellAnchor editAs="oneCell">
    <xdr:from>
      <xdr:col>13</xdr:col>
      <xdr:colOff>311391</xdr:colOff>
      <xdr:row>0</xdr:row>
      <xdr:rowOff>121920</xdr:rowOff>
    </xdr:from>
    <xdr:to>
      <xdr:col>15</xdr:col>
      <xdr:colOff>758389</xdr:colOff>
      <xdr:row>1</xdr:row>
      <xdr:rowOff>142240</xdr:rowOff>
    </xdr:to>
    <xdr:pic>
      <xdr:nvPicPr>
        <xdr:cNvPr id="3" name="Picture 2"/>
        <xdr:cNvPicPr>
          <a:picLocks noChangeAspect="1"/>
        </xdr:cNvPicPr>
      </xdr:nvPicPr>
      <xdr:blipFill>
        <a:blip xmlns:r="http://schemas.openxmlformats.org/officeDocument/2006/relationships" r:embed="rId1"/>
        <a:stretch>
          <a:fillRect/>
        </a:stretch>
      </xdr:blipFill>
      <xdr:spPr>
        <a:xfrm>
          <a:off x="9607791" y="121920"/>
          <a:ext cx="1351238" cy="6705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292100</xdr:colOff>
      <xdr:row>23</xdr:row>
      <xdr:rowOff>63500</xdr:rowOff>
    </xdr:from>
    <xdr:to>
      <xdr:col>2</xdr:col>
      <xdr:colOff>508000</xdr:colOff>
      <xdr:row>26</xdr:row>
      <xdr:rowOff>152400</xdr:rowOff>
    </xdr:to>
    <xdr:sp macro="" textlink="">
      <xdr:nvSpPr>
        <xdr:cNvPr id="17477" name="AutoShape 8"/>
        <xdr:cNvSpPr>
          <a:spLocks/>
        </xdr:cNvSpPr>
      </xdr:nvSpPr>
      <xdr:spPr bwMode="auto">
        <a:xfrm>
          <a:off x="1308100" y="3505200"/>
          <a:ext cx="215900" cy="622300"/>
        </a:xfrm>
        <a:prstGeom prst="leftBrace">
          <a:avLst>
            <a:gd name="adj1" fmla="val 2402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1</xdr:col>
      <xdr:colOff>596900</xdr:colOff>
      <xdr:row>24</xdr:row>
      <xdr:rowOff>76200</xdr:rowOff>
    </xdr:from>
    <xdr:to>
      <xdr:col>2</xdr:col>
      <xdr:colOff>213213</xdr:colOff>
      <xdr:row>26</xdr:row>
      <xdr:rowOff>28575</xdr:rowOff>
    </xdr:to>
    <xdr:sp macro="" textlink="">
      <xdr:nvSpPr>
        <xdr:cNvPr id="17418" name="WordArt 10"/>
        <xdr:cNvSpPr>
          <a:spLocks noChangeArrowheads="1" noChangeShapeType="1" noTextEdit="1"/>
        </xdr:cNvSpPr>
      </xdr:nvSpPr>
      <xdr:spPr bwMode="auto">
        <a:xfrm>
          <a:off x="847725" y="3838575"/>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5</xdr:col>
      <xdr:colOff>63500</xdr:colOff>
      <xdr:row>32</xdr:row>
      <xdr:rowOff>63500</xdr:rowOff>
    </xdr:from>
    <xdr:to>
      <xdr:col>5</xdr:col>
      <xdr:colOff>215900</xdr:colOff>
      <xdr:row>34</xdr:row>
      <xdr:rowOff>101600</xdr:rowOff>
    </xdr:to>
    <xdr:sp macro="" textlink="">
      <xdr:nvSpPr>
        <xdr:cNvPr id="17479" name="AutoShape 12"/>
        <xdr:cNvSpPr>
          <a:spLocks/>
        </xdr:cNvSpPr>
      </xdr:nvSpPr>
      <xdr:spPr bwMode="auto">
        <a:xfrm>
          <a:off x="3556000" y="5016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5</xdr:col>
      <xdr:colOff>254000</xdr:colOff>
      <xdr:row>33</xdr:row>
      <xdr:rowOff>0</xdr:rowOff>
    </xdr:from>
    <xdr:to>
      <xdr:col>5</xdr:col>
      <xdr:colOff>508000</xdr:colOff>
      <xdr:row>33</xdr:row>
      <xdr:rowOff>127000</xdr:rowOff>
    </xdr:to>
    <xdr:sp macro="" textlink="">
      <xdr:nvSpPr>
        <xdr:cNvPr id="17480" name="AutoShape 13"/>
        <xdr:cNvSpPr>
          <a:spLocks noChangeArrowheads="1"/>
        </xdr:cNvSpPr>
      </xdr:nvSpPr>
      <xdr:spPr bwMode="auto">
        <a:xfrm>
          <a:off x="3746500" y="5105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304800</xdr:colOff>
      <xdr:row>23</xdr:row>
      <xdr:rowOff>63500</xdr:rowOff>
    </xdr:from>
    <xdr:to>
      <xdr:col>2</xdr:col>
      <xdr:colOff>533400</xdr:colOff>
      <xdr:row>26</xdr:row>
      <xdr:rowOff>152400</xdr:rowOff>
    </xdr:to>
    <xdr:sp macro="" textlink="">
      <xdr:nvSpPr>
        <xdr:cNvPr id="18490" name="AutoShape 8"/>
        <xdr:cNvSpPr>
          <a:spLocks/>
        </xdr:cNvSpPr>
      </xdr:nvSpPr>
      <xdr:spPr bwMode="auto">
        <a:xfrm>
          <a:off x="1320800" y="35179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1</xdr:col>
      <xdr:colOff>615950</xdr:colOff>
      <xdr:row>24</xdr:row>
      <xdr:rowOff>76200</xdr:rowOff>
    </xdr:from>
    <xdr:to>
      <xdr:col>2</xdr:col>
      <xdr:colOff>243332</xdr:colOff>
      <xdr:row>26</xdr:row>
      <xdr:rowOff>28575</xdr:rowOff>
    </xdr:to>
    <xdr:sp macro="" textlink="">
      <xdr:nvSpPr>
        <xdr:cNvPr id="18442" name="WordArt 10"/>
        <xdr:cNvSpPr>
          <a:spLocks noChangeArrowheads="1" noChangeShapeType="1" noTextEdit="1"/>
        </xdr:cNvSpPr>
      </xdr:nvSpPr>
      <xdr:spPr bwMode="auto">
        <a:xfrm>
          <a:off x="866775" y="3838575"/>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5</xdr:col>
      <xdr:colOff>254000</xdr:colOff>
      <xdr:row>33</xdr:row>
      <xdr:rowOff>0</xdr:rowOff>
    </xdr:from>
    <xdr:to>
      <xdr:col>5</xdr:col>
      <xdr:colOff>508000</xdr:colOff>
      <xdr:row>33</xdr:row>
      <xdr:rowOff>127000</xdr:rowOff>
    </xdr:to>
    <xdr:sp macro="" textlink="">
      <xdr:nvSpPr>
        <xdr:cNvPr id="18492" name="AutoShape 13"/>
        <xdr:cNvSpPr>
          <a:spLocks noChangeArrowheads="1"/>
        </xdr:cNvSpPr>
      </xdr:nvSpPr>
      <xdr:spPr bwMode="auto">
        <a:xfrm>
          <a:off x="3733800" y="4813300"/>
          <a:ext cx="254000" cy="0"/>
        </a:xfrm>
        <a:prstGeom prst="leftArrow">
          <a:avLst>
            <a:gd name="adj1" fmla="val 50000"/>
            <a:gd name="adj2" fmla="val -2147483648"/>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273050</xdr:colOff>
      <xdr:row>0</xdr:row>
      <xdr:rowOff>342900</xdr:rowOff>
    </xdr:from>
    <xdr:to>
      <xdr:col>5</xdr:col>
      <xdr:colOff>2657722</xdr:colOff>
      <xdr:row>1</xdr:row>
      <xdr:rowOff>180975</xdr:rowOff>
    </xdr:to>
    <xdr:sp macro="" textlink="">
      <xdr:nvSpPr>
        <xdr:cNvPr id="13313" name="WordArt 1"/>
        <xdr:cNvSpPr>
          <a:spLocks noChangeArrowheads="1" noChangeShapeType="1" noTextEdit="1"/>
        </xdr:cNvSpPr>
      </xdr:nvSpPr>
      <xdr:spPr bwMode="auto">
        <a:xfrm>
          <a:off x="247650" y="342900"/>
          <a:ext cx="8448675" cy="466725"/>
        </a:xfrm>
        <a:prstGeom prst="rect">
          <a:avLst/>
        </a:prstGeom>
        <a:extLst/>
      </xdr:spPr>
      <xdr:txBody>
        <a:bodyPr wrap="none" fromWordArt="1">
          <a:prstTxWarp prst="textPlain">
            <a:avLst>
              <a:gd name="adj" fmla="val 50000"/>
            </a:avLst>
          </a:prstTxWarp>
        </a:bodyPr>
        <a:lstStyle/>
        <a:p>
          <a:pPr algn="dist" rtl="0">
            <a:buNone/>
          </a:pPr>
          <a:r>
            <a:rPr lang="en-US" sz="1200" b="1" kern="10" spc="0">
              <a:ln w="9525">
                <a:solidFill>
                  <a:srgbClr val="000000"/>
                </a:solidFill>
                <a:round/>
                <a:headEnd/>
                <a:tailEnd/>
              </a:ln>
              <a:solidFill>
                <a:srgbClr val="008080"/>
              </a:solidFill>
              <a:effectLst/>
              <a:latin typeface="Century Schoolbook"/>
            </a:rPr>
            <a:t>SALARY CALCULATIONS for COMPENSATION PLAN FACULTY </a:t>
          </a:r>
        </a:p>
        <a:p>
          <a:pPr algn="dist" rtl="0">
            <a:buNone/>
          </a:pPr>
          <a:endParaRPr lang="en-US" sz="1200" b="1" kern="10" spc="0">
            <a:ln w="9525">
              <a:solidFill>
                <a:srgbClr val="000000"/>
              </a:solidFill>
              <a:round/>
              <a:headEnd/>
              <a:tailEnd/>
            </a:ln>
            <a:solidFill>
              <a:srgbClr val="008080"/>
            </a:solidFill>
            <a:effectLst/>
            <a:latin typeface="Century Schoolbook"/>
          </a:endParaRPr>
        </a:p>
      </xdr:txBody>
    </xdr:sp>
    <xdr:clientData/>
  </xdr:twoCellAnchor>
  <xdr:twoCellAnchor>
    <xdr:from>
      <xdr:col>2</xdr:col>
      <xdr:colOff>234950</xdr:colOff>
      <xdr:row>2</xdr:row>
      <xdr:rowOff>95250</xdr:rowOff>
    </xdr:from>
    <xdr:to>
      <xdr:col>3</xdr:col>
      <xdr:colOff>2647950</xdr:colOff>
      <xdr:row>2</xdr:row>
      <xdr:rowOff>238125</xdr:rowOff>
    </xdr:to>
    <xdr:sp macro="" textlink="">
      <xdr:nvSpPr>
        <xdr:cNvPr id="13314" name="WordArt 2"/>
        <xdr:cNvSpPr>
          <a:spLocks noChangeArrowheads="1" noChangeShapeType="1" noTextEdit="1"/>
        </xdr:cNvSpPr>
      </xdr:nvSpPr>
      <xdr:spPr bwMode="auto">
        <a:xfrm>
          <a:off x="3171825" y="1295400"/>
          <a:ext cx="2552700" cy="14287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Comments and Instructions</a:t>
          </a:r>
        </a:p>
      </xdr:txBody>
    </xdr:sp>
    <xdr:clientData/>
  </xdr:twoCellAnchor>
  <xdr:twoCellAnchor>
    <xdr:from>
      <xdr:col>4</xdr:col>
      <xdr:colOff>333375</xdr:colOff>
      <xdr:row>2</xdr:row>
      <xdr:rowOff>133350</xdr:rowOff>
    </xdr:from>
    <xdr:to>
      <xdr:col>5</xdr:col>
      <xdr:colOff>1565275</xdr:colOff>
      <xdr:row>2</xdr:row>
      <xdr:rowOff>276225</xdr:rowOff>
    </xdr:to>
    <xdr:sp macro="" textlink="">
      <xdr:nvSpPr>
        <xdr:cNvPr id="13315" name="WordArt 3"/>
        <xdr:cNvSpPr>
          <a:spLocks noChangeArrowheads="1" noChangeShapeType="1" noTextEdit="1"/>
        </xdr:cNvSpPr>
      </xdr:nvSpPr>
      <xdr:spPr bwMode="auto">
        <a:xfrm>
          <a:off x="6219825" y="1333500"/>
          <a:ext cx="1485900" cy="14287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How to Navigate</a:t>
          </a:r>
        </a:p>
      </xdr:txBody>
    </xdr:sp>
    <xdr:clientData/>
  </xdr:twoCellAnchor>
  <xdr:twoCellAnchor>
    <xdr:from>
      <xdr:col>0</xdr:col>
      <xdr:colOff>215900</xdr:colOff>
      <xdr:row>2</xdr:row>
      <xdr:rowOff>104775</xdr:rowOff>
    </xdr:from>
    <xdr:to>
      <xdr:col>1</xdr:col>
      <xdr:colOff>2501900</xdr:colOff>
      <xdr:row>2</xdr:row>
      <xdr:rowOff>238125</xdr:rowOff>
    </xdr:to>
    <xdr:sp macro="" textlink="">
      <xdr:nvSpPr>
        <xdr:cNvPr id="13316" name="WordArt 4"/>
        <xdr:cNvSpPr>
          <a:spLocks noChangeArrowheads="1" noChangeShapeType="1" noTextEdit="1"/>
        </xdr:cNvSpPr>
      </xdr:nvSpPr>
      <xdr:spPr bwMode="auto">
        <a:xfrm>
          <a:off x="190500" y="1304925"/>
          <a:ext cx="2438400" cy="133350"/>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Where to Enter Information</a:t>
          </a:r>
        </a:p>
      </xdr:txBody>
    </xdr:sp>
    <xdr:clientData/>
  </xdr:twoCellAnchor>
  <xdr:twoCellAnchor>
    <xdr:from>
      <xdr:col>0</xdr:col>
      <xdr:colOff>215900</xdr:colOff>
      <xdr:row>8</xdr:row>
      <xdr:rowOff>190500</xdr:rowOff>
    </xdr:from>
    <xdr:to>
      <xdr:col>1</xdr:col>
      <xdr:colOff>2215612</xdr:colOff>
      <xdr:row>8</xdr:row>
      <xdr:rowOff>314325</xdr:rowOff>
    </xdr:to>
    <xdr:sp macro="" textlink="">
      <xdr:nvSpPr>
        <xdr:cNvPr id="13317" name="WordArt 5"/>
        <xdr:cNvSpPr>
          <a:spLocks noChangeArrowheads="1" noChangeShapeType="1" noTextEdit="1"/>
        </xdr:cNvSpPr>
      </xdr:nvSpPr>
      <xdr:spPr bwMode="auto">
        <a:xfrm>
          <a:off x="190500" y="3762375"/>
          <a:ext cx="2190750" cy="12382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General Instructions:</a:t>
          </a:r>
        </a:p>
      </xdr:txBody>
    </xdr:sp>
    <xdr:clientData/>
  </xdr:twoCellAnchor>
  <xdr:twoCellAnchor>
    <xdr:from>
      <xdr:col>4</xdr:col>
      <xdr:colOff>234950</xdr:colOff>
      <xdr:row>3</xdr:row>
      <xdr:rowOff>1495425</xdr:rowOff>
    </xdr:from>
    <xdr:to>
      <xdr:col>6</xdr:col>
      <xdr:colOff>57150</xdr:colOff>
      <xdr:row>6</xdr:row>
      <xdr:rowOff>28575</xdr:rowOff>
    </xdr:to>
    <xdr:sp macro="" textlink="">
      <xdr:nvSpPr>
        <xdr:cNvPr id="13318" name="WordArt 6">
          <a:hlinkClick xmlns:r="http://schemas.openxmlformats.org/officeDocument/2006/relationships" r:id="rId1"/>
        </xdr:cNvPr>
        <xdr:cNvSpPr>
          <a:spLocks noChangeArrowheads="1" noChangeShapeType="1" noTextEdit="1"/>
        </xdr:cNvSpPr>
      </xdr:nvSpPr>
      <xdr:spPr bwMode="auto">
        <a:xfrm>
          <a:off x="6134100" y="3076575"/>
          <a:ext cx="2809875" cy="228600"/>
        </a:xfrm>
        <a:prstGeom prst="rect">
          <a:avLst/>
        </a:prstGeom>
        <a:extLst/>
      </xdr:spPr>
      <xdr:txBody>
        <a:bodyPr wrap="none" fromWordArt="1">
          <a:prstTxWarp prst="textPlain">
            <a:avLst>
              <a:gd name="adj" fmla="val 50000"/>
            </a:avLst>
          </a:prstTxWarp>
        </a:bodyPr>
        <a:lstStyle/>
        <a:p>
          <a:pPr algn="ctr" rtl="0">
            <a:buNone/>
          </a:pPr>
          <a:r>
            <a:rPr lang="en-US" sz="800" kern="10" spc="0">
              <a:ln w="9525">
                <a:solidFill>
                  <a:srgbClr val="000000"/>
                </a:solidFill>
                <a:round/>
                <a:headEnd/>
                <a:tailEnd/>
              </a:ln>
              <a:solidFill>
                <a:srgbClr val="FF0000"/>
              </a:solidFill>
              <a:effectLst/>
              <a:latin typeface="Arial Black"/>
            </a:rPr>
            <a:t>Link To: Important Rules to Remember</a:t>
          </a:r>
        </a:p>
      </xdr:txBody>
    </xdr:sp>
    <xdr:clientData/>
  </xdr:twoCellAnchor>
  <xdr:twoCellAnchor>
    <xdr:from>
      <xdr:col>1</xdr:col>
      <xdr:colOff>1057275</xdr:colOff>
      <xdr:row>18</xdr:row>
      <xdr:rowOff>238125</xdr:rowOff>
    </xdr:from>
    <xdr:to>
      <xdr:col>3</xdr:col>
      <xdr:colOff>1863627</xdr:colOff>
      <xdr:row>18</xdr:row>
      <xdr:rowOff>504825</xdr:rowOff>
    </xdr:to>
    <xdr:sp macro="" textlink="">
      <xdr:nvSpPr>
        <xdr:cNvPr id="13321" name="WordArt 9">
          <a:hlinkClick xmlns:r="http://schemas.openxmlformats.org/officeDocument/2006/relationships" r:id="rId2"/>
        </xdr:cNvPr>
        <xdr:cNvSpPr>
          <a:spLocks noChangeArrowheads="1" noChangeShapeType="1" noTextEdit="1"/>
        </xdr:cNvSpPr>
      </xdr:nvSpPr>
      <xdr:spPr bwMode="auto">
        <a:xfrm>
          <a:off x="1323975" y="14735175"/>
          <a:ext cx="3705225" cy="266700"/>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Important Rules to Remember</a:t>
          </a:r>
        </a:p>
      </xdr:txBody>
    </xdr:sp>
    <xdr:clientData/>
  </xdr:twoCellAnchor>
  <xdr:twoCellAnchor>
    <xdr:from>
      <xdr:col>0</xdr:col>
      <xdr:colOff>9525</xdr:colOff>
      <xdr:row>21</xdr:row>
      <xdr:rowOff>152400</xdr:rowOff>
    </xdr:from>
    <xdr:to>
      <xdr:col>1</xdr:col>
      <xdr:colOff>1819867</xdr:colOff>
      <xdr:row>21</xdr:row>
      <xdr:rowOff>333375</xdr:rowOff>
    </xdr:to>
    <xdr:sp macro="" textlink="">
      <xdr:nvSpPr>
        <xdr:cNvPr id="13322" name="WordArt 10"/>
        <xdr:cNvSpPr>
          <a:spLocks noChangeArrowheads="1" noChangeShapeType="1" noTextEdit="1"/>
        </xdr:cNvSpPr>
      </xdr:nvSpPr>
      <xdr:spPr bwMode="auto">
        <a:xfrm>
          <a:off x="9525" y="16259175"/>
          <a:ext cx="2000250" cy="18097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199XX Funds</a:t>
          </a:r>
        </a:p>
      </xdr:txBody>
    </xdr:sp>
    <xdr:clientData/>
  </xdr:twoCellAnchor>
  <xdr:twoCellAnchor>
    <xdr:from>
      <xdr:col>0</xdr:col>
      <xdr:colOff>88900</xdr:colOff>
      <xdr:row>29</xdr:row>
      <xdr:rowOff>0</xdr:rowOff>
    </xdr:from>
    <xdr:to>
      <xdr:col>3</xdr:col>
      <xdr:colOff>889000</xdr:colOff>
      <xdr:row>29</xdr:row>
      <xdr:rowOff>0</xdr:rowOff>
    </xdr:to>
    <xdr:sp macro="" textlink="">
      <xdr:nvSpPr>
        <xdr:cNvPr id="13323" name="WordArt 11"/>
        <xdr:cNvSpPr>
          <a:spLocks noChangeArrowheads="1" noChangeShapeType="1" noTextEdit="1"/>
        </xdr:cNvSpPr>
      </xdr:nvSpPr>
      <xdr:spPr bwMode="auto">
        <a:xfrm>
          <a:off x="76200" y="19850100"/>
          <a:ext cx="4067175" cy="0"/>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The Compensation Plans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333375</xdr:colOff>
      <xdr:row>0</xdr:row>
      <xdr:rowOff>352425</xdr:rowOff>
    </xdr:from>
    <xdr:to>
      <xdr:col>5</xdr:col>
      <xdr:colOff>2841455</xdr:colOff>
      <xdr:row>0</xdr:row>
      <xdr:rowOff>581025</xdr:rowOff>
    </xdr:to>
    <xdr:sp macro="" textlink="">
      <xdr:nvSpPr>
        <xdr:cNvPr id="14338" name="WordArt 2"/>
        <xdr:cNvSpPr>
          <a:spLocks noChangeArrowheads="1" noChangeShapeType="1" noTextEdit="1"/>
        </xdr:cNvSpPr>
      </xdr:nvSpPr>
      <xdr:spPr bwMode="auto">
        <a:xfrm>
          <a:off x="676275" y="352425"/>
          <a:ext cx="8191500" cy="228600"/>
        </a:xfrm>
        <a:prstGeom prst="rect">
          <a:avLst/>
        </a:prstGeom>
        <a:extLst/>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OFF-SCALE SALARY CALCULATIONS for COMPENSATION PLAN FACULTY</a:t>
          </a:r>
        </a:p>
      </xdr:txBody>
    </xdr:sp>
    <xdr:clientData/>
  </xdr:twoCellAnchor>
  <xdr:twoCellAnchor>
    <xdr:from>
      <xdr:col>0</xdr:col>
      <xdr:colOff>342900</xdr:colOff>
      <xdr:row>3</xdr:row>
      <xdr:rowOff>314325</xdr:rowOff>
    </xdr:from>
    <xdr:to>
      <xdr:col>5</xdr:col>
      <xdr:colOff>527039</xdr:colOff>
      <xdr:row>4</xdr:row>
      <xdr:rowOff>0</xdr:rowOff>
    </xdr:to>
    <xdr:sp macro="" textlink="">
      <xdr:nvSpPr>
        <xdr:cNvPr id="14339" name="WordArt 3"/>
        <xdr:cNvSpPr>
          <a:spLocks noChangeArrowheads="1" noChangeShapeType="1" noTextEdit="1"/>
        </xdr:cNvSpPr>
      </xdr:nvSpPr>
      <xdr:spPr bwMode="auto">
        <a:xfrm>
          <a:off x="304800" y="2609850"/>
          <a:ext cx="6477000" cy="190500"/>
        </a:xfrm>
        <a:prstGeom prst="rect">
          <a:avLst/>
        </a:prstGeom>
        <a:extLst/>
      </xdr:spPr>
      <xdr:txBody>
        <a:bodyPr wrap="none" fromWordArt="1">
          <a:prstTxWarp prst="textPlain">
            <a:avLst>
              <a:gd name="adj" fmla="val 50000"/>
            </a:avLst>
          </a:prstTxWarp>
        </a:bodyPr>
        <a:lstStyle/>
        <a:p>
          <a:pPr algn="ctr" rtl="0">
            <a:buNone/>
          </a:pPr>
          <a:r>
            <a:rPr lang="en-US" sz="1400" b="1" kern="10" spc="0">
              <a:ln w="9525">
                <a:solidFill>
                  <a:srgbClr val="000000"/>
                </a:solidFill>
                <a:round/>
                <a:headEnd/>
                <a:tailEnd/>
              </a:ln>
              <a:solidFill>
                <a:srgbClr val="008080"/>
              </a:solidFill>
              <a:effectLst/>
              <a:latin typeface="Century Schoolbook"/>
            </a:rPr>
            <a:t>Additional Notes Regarding Off-Scale Base Salaries:</a:t>
          </a:r>
        </a:p>
      </xdr:txBody>
    </xdr:sp>
    <xdr:clientData/>
  </xdr:twoCellAnchor>
  <xdr:twoCellAnchor>
    <xdr:from>
      <xdr:col>1</xdr:col>
      <xdr:colOff>19050</xdr:colOff>
      <xdr:row>4</xdr:row>
      <xdr:rowOff>123825</xdr:rowOff>
    </xdr:from>
    <xdr:to>
      <xdr:col>3</xdr:col>
      <xdr:colOff>2286268</xdr:colOff>
      <xdr:row>4</xdr:row>
      <xdr:rowOff>342900</xdr:rowOff>
    </xdr:to>
    <xdr:sp macro="" textlink="">
      <xdr:nvSpPr>
        <xdr:cNvPr id="14340" name="WordArt 4"/>
        <xdr:cNvSpPr>
          <a:spLocks noChangeArrowheads="1" noChangeShapeType="1" noTextEdit="1"/>
        </xdr:cNvSpPr>
      </xdr:nvSpPr>
      <xdr:spPr bwMode="auto">
        <a:xfrm>
          <a:off x="400050" y="2924175"/>
          <a:ext cx="5000625" cy="219075"/>
        </a:xfrm>
        <a:prstGeom prst="rect">
          <a:avLst/>
        </a:prstGeom>
        <a:extLst/>
      </xdr:spPr>
      <xdr:txBody>
        <a:bodyPr wrap="none" fromWordArt="1">
          <a:prstTxWarp prst="textPlain">
            <a:avLst>
              <a:gd name="adj" fmla="val 50000"/>
            </a:avLst>
          </a:prstTxWarp>
        </a:bodyPr>
        <a:lstStyle/>
        <a:p>
          <a:pPr algn="ctr" rtl="0">
            <a:buNone/>
          </a:pPr>
          <a:r>
            <a:rPr lang="en-US" sz="900" b="1" kern="10" spc="0">
              <a:ln w="9525">
                <a:solidFill>
                  <a:srgbClr val="000000"/>
                </a:solidFill>
                <a:round/>
                <a:headEnd/>
                <a:tailEnd/>
              </a:ln>
              <a:solidFill>
                <a:srgbClr val="008080"/>
              </a:solidFill>
              <a:effectLst/>
              <a:latin typeface="Century Schoolbook"/>
            </a:rPr>
            <a:t>(See APM Section 620 for Complete Academic Policy)</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38100</xdr:colOff>
      <xdr:row>5</xdr:row>
      <xdr:rowOff>152400</xdr:rowOff>
    </xdr:from>
    <xdr:to>
      <xdr:col>4</xdr:col>
      <xdr:colOff>88900</xdr:colOff>
      <xdr:row>6</xdr:row>
      <xdr:rowOff>285750</xdr:rowOff>
    </xdr:to>
    <xdr:sp macro="" textlink="">
      <xdr:nvSpPr>
        <xdr:cNvPr id="15361" name="WordArt 1"/>
        <xdr:cNvSpPr>
          <a:spLocks noChangeArrowheads="1" noChangeShapeType="1" noTextEdit="1"/>
        </xdr:cNvSpPr>
      </xdr:nvSpPr>
      <xdr:spPr bwMode="auto">
        <a:xfrm>
          <a:off x="419100" y="2152650"/>
          <a:ext cx="5581650" cy="381000"/>
        </a:xfrm>
        <a:prstGeom prst="rect">
          <a:avLst/>
        </a:prstGeom>
        <a:extLst/>
      </xdr:spPr>
      <xdr:txBody>
        <a:bodyPr wrap="none" fromWordArt="1">
          <a:prstTxWarp prst="textPlain">
            <a:avLst>
              <a:gd name="adj" fmla="val 50000"/>
            </a:avLst>
          </a:prstTxWarp>
        </a:bodyPr>
        <a:lstStyle/>
        <a:p>
          <a:pPr algn="ctr" rtl="0">
            <a:buNone/>
          </a:pPr>
          <a:r>
            <a:rPr lang="en-US" sz="1000" b="1" kern="10" spc="0">
              <a:ln w="9525">
                <a:solidFill>
                  <a:srgbClr val="000000"/>
                </a:solidFill>
                <a:round/>
                <a:headEnd/>
                <a:tailEnd/>
              </a:ln>
              <a:solidFill>
                <a:srgbClr val="008080"/>
              </a:solidFill>
              <a:effectLst/>
              <a:latin typeface="Century Schoolbook"/>
            </a:rPr>
            <a:t>Additional Notes Regarding Above Scale Base Salaries:</a:t>
          </a:r>
        </a:p>
        <a:p>
          <a:pPr algn="ctr" rtl="0">
            <a:buNone/>
          </a:pPr>
          <a:endParaRPr lang="en-US" sz="1000" b="1" kern="10" spc="0">
            <a:ln w="9525">
              <a:solidFill>
                <a:srgbClr val="000000"/>
              </a:solidFill>
              <a:round/>
              <a:headEnd/>
              <a:tailEnd/>
            </a:ln>
            <a:solidFill>
              <a:srgbClr val="008080"/>
            </a:solidFill>
            <a:effectLst/>
            <a:latin typeface="Century Schoolbook"/>
          </a:endParaRPr>
        </a:p>
      </xdr:txBody>
    </xdr:sp>
    <xdr:clientData/>
  </xdr:twoCellAnchor>
  <xdr:twoCellAnchor>
    <xdr:from>
      <xdr:col>1</xdr:col>
      <xdr:colOff>85725</xdr:colOff>
      <xdr:row>0</xdr:row>
      <xdr:rowOff>342900</xdr:rowOff>
    </xdr:from>
    <xdr:to>
      <xdr:col>5</xdr:col>
      <xdr:colOff>2431964</xdr:colOff>
      <xdr:row>0</xdr:row>
      <xdr:rowOff>590550</xdr:rowOff>
    </xdr:to>
    <xdr:sp macro="" textlink="">
      <xdr:nvSpPr>
        <xdr:cNvPr id="15362" name="WordArt 2"/>
        <xdr:cNvSpPr>
          <a:spLocks noChangeArrowheads="1" noChangeShapeType="1" noTextEdit="1"/>
        </xdr:cNvSpPr>
      </xdr:nvSpPr>
      <xdr:spPr bwMode="auto">
        <a:xfrm>
          <a:off x="466725" y="342900"/>
          <a:ext cx="8029575" cy="247650"/>
        </a:xfrm>
        <a:prstGeom prst="rect">
          <a:avLst/>
        </a:prstGeom>
        <a:extLst/>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ABOVE  SCALE SALARY CALCULATIONS FOR COMPENSATION PLAN FACULTY</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1" Type="http://schemas.openxmlformats.org/officeDocument/2006/relationships/vmlDrawing" Target="../drawings/vmlDrawing1.vml"/><Relationship Id="rId12" Type="http://schemas.openxmlformats.org/officeDocument/2006/relationships/comments" Target="../comments1.xml"/><Relationship Id="rId1" Type="http://schemas.openxmlformats.org/officeDocument/2006/relationships/hyperlink" Target="http://report.nih.gov/FileLink.aspx?rid=824" TargetMode="External"/><Relationship Id="rId2" Type="http://schemas.openxmlformats.org/officeDocument/2006/relationships/hyperlink" Target="http://report.nih.gov/FileLink.aspx?rid=824" TargetMode="External"/><Relationship Id="rId3" Type="http://schemas.openxmlformats.org/officeDocument/2006/relationships/hyperlink" Target="http://report.nih.gov/FileLink.aspx?rid=824" TargetMode="External"/><Relationship Id="rId4" Type="http://schemas.openxmlformats.org/officeDocument/2006/relationships/hyperlink" Target="http://report.nih.gov/FileLink.aspx?rid=824" TargetMode="External"/><Relationship Id="rId5" Type="http://schemas.openxmlformats.org/officeDocument/2006/relationships/hyperlink" Target="http://report.nih.gov/FileLink.aspx?rid=824" TargetMode="External"/><Relationship Id="rId6" Type="http://schemas.openxmlformats.org/officeDocument/2006/relationships/hyperlink" Target="http://report.nih.gov/FileLink.aspx?rid=824" TargetMode="External"/><Relationship Id="rId7" Type="http://schemas.openxmlformats.org/officeDocument/2006/relationships/hyperlink" Target="http://grants.nih.gov/grants/guide/notice-files/NOT-OD-12-035.html" TargetMode="External"/><Relationship Id="rId8" Type="http://schemas.openxmlformats.org/officeDocument/2006/relationships/hyperlink" Target="mailto:john.radkowski@ucsf.edu" TargetMode="External"/><Relationship Id="rId9" Type="http://schemas.openxmlformats.org/officeDocument/2006/relationships/hyperlink" Target="mailto:susan.lin@ucsf.edu" TargetMode="External"/><Relationship Id="rId10"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1" Type="http://schemas.openxmlformats.org/officeDocument/2006/relationships/vmlDrawing" Target="../drawings/vmlDrawing2.vml"/><Relationship Id="rId12" Type="http://schemas.openxmlformats.org/officeDocument/2006/relationships/comments" Target="../comments2.xml"/><Relationship Id="rId1" Type="http://schemas.openxmlformats.org/officeDocument/2006/relationships/hyperlink" Target="http://report.nih.gov/FileLink.aspx?rid=824" TargetMode="External"/><Relationship Id="rId2" Type="http://schemas.openxmlformats.org/officeDocument/2006/relationships/hyperlink" Target="http://report.nih.gov/FileLink.aspx?rid=824" TargetMode="External"/><Relationship Id="rId3" Type="http://schemas.openxmlformats.org/officeDocument/2006/relationships/hyperlink" Target="http://report.nih.gov/FileLink.aspx?rid=824" TargetMode="External"/><Relationship Id="rId4" Type="http://schemas.openxmlformats.org/officeDocument/2006/relationships/hyperlink" Target="http://report.nih.gov/FileLink.aspx?rid=824" TargetMode="External"/><Relationship Id="rId5" Type="http://schemas.openxmlformats.org/officeDocument/2006/relationships/hyperlink" Target="http://report.nih.gov/FileLink.aspx?rid=824" TargetMode="External"/><Relationship Id="rId6" Type="http://schemas.openxmlformats.org/officeDocument/2006/relationships/hyperlink" Target="http://report.nih.gov/FileLink.aspx?rid=824" TargetMode="External"/><Relationship Id="rId7" Type="http://schemas.openxmlformats.org/officeDocument/2006/relationships/hyperlink" Target="http://grants.nih.gov/grants/guide/notice-files/NOT-OD-12-035.html" TargetMode="External"/><Relationship Id="rId8" Type="http://schemas.openxmlformats.org/officeDocument/2006/relationships/hyperlink" Target="mailto:john.radkowski@ucsf.edu" TargetMode="External"/><Relationship Id="rId9" Type="http://schemas.openxmlformats.org/officeDocument/2006/relationships/hyperlink" Target="mailto:susan.lin@ucsf.edu" TargetMode="External"/><Relationship Id="rId10"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1" Type="http://schemas.openxmlformats.org/officeDocument/2006/relationships/vmlDrawing" Target="../drawings/vmlDrawing3.vml"/><Relationship Id="rId12" Type="http://schemas.openxmlformats.org/officeDocument/2006/relationships/comments" Target="../comments3.xml"/><Relationship Id="rId1" Type="http://schemas.openxmlformats.org/officeDocument/2006/relationships/hyperlink" Target="http://report.nih.gov/FileLink.aspx?rid=824" TargetMode="External"/><Relationship Id="rId2" Type="http://schemas.openxmlformats.org/officeDocument/2006/relationships/hyperlink" Target="http://report.nih.gov/FileLink.aspx?rid=824" TargetMode="External"/><Relationship Id="rId3" Type="http://schemas.openxmlformats.org/officeDocument/2006/relationships/hyperlink" Target="http://report.nih.gov/FileLink.aspx?rid=824" TargetMode="External"/><Relationship Id="rId4" Type="http://schemas.openxmlformats.org/officeDocument/2006/relationships/hyperlink" Target="http://report.nih.gov/FileLink.aspx?rid=824" TargetMode="External"/><Relationship Id="rId5" Type="http://schemas.openxmlformats.org/officeDocument/2006/relationships/hyperlink" Target="http://report.nih.gov/FileLink.aspx?rid=824" TargetMode="External"/><Relationship Id="rId6" Type="http://schemas.openxmlformats.org/officeDocument/2006/relationships/hyperlink" Target="http://report.nih.gov/FileLink.aspx?rid=824" TargetMode="External"/><Relationship Id="rId7" Type="http://schemas.openxmlformats.org/officeDocument/2006/relationships/hyperlink" Target="http://grants.nih.gov/grants/guide/notice-files/NOT-OD-12-035.html" TargetMode="External"/><Relationship Id="rId8" Type="http://schemas.openxmlformats.org/officeDocument/2006/relationships/hyperlink" Target="mailto:john.radkowski@ucsf.edu" TargetMode="External"/><Relationship Id="rId9" Type="http://schemas.openxmlformats.org/officeDocument/2006/relationships/hyperlink" Target="mailto:susan.lin@ucsf.edu" TargetMode="External"/><Relationship Id="rId10"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1" Type="http://schemas.openxmlformats.org/officeDocument/2006/relationships/hyperlink" Target="http://grants.nih.gov/grants/guide/notice-files/NOT-OD-12-035.html" TargetMode="External"/><Relationship Id="rId12" Type="http://schemas.openxmlformats.org/officeDocument/2006/relationships/hyperlink" Target="http://grants.nih.gov/grants/guide/notice-files/NOT-OD-12-035.html" TargetMode="External"/><Relationship Id="rId13" Type="http://schemas.openxmlformats.org/officeDocument/2006/relationships/hyperlink" Target="mailto:susan.lin@ucsf.edu" TargetMode="External"/><Relationship Id="rId14" Type="http://schemas.openxmlformats.org/officeDocument/2006/relationships/hyperlink" Target="mailto:john.radkowski@ucsf.edu" TargetMode="External"/><Relationship Id="rId1" Type="http://schemas.openxmlformats.org/officeDocument/2006/relationships/hyperlink" Target="http://report.nih.gov/FileLink.aspx?rid=824" TargetMode="External"/><Relationship Id="rId2" Type="http://schemas.openxmlformats.org/officeDocument/2006/relationships/hyperlink" Target="http://report.nih.gov/FileLink.aspx?rid=824" TargetMode="External"/><Relationship Id="rId3" Type="http://schemas.openxmlformats.org/officeDocument/2006/relationships/hyperlink" Target="http://report.nih.gov/FileLink.aspx?rid=824" TargetMode="External"/><Relationship Id="rId4" Type="http://schemas.openxmlformats.org/officeDocument/2006/relationships/hyperlink" Target="http://report.nih.gov/FileLink.aspx?rid=824" TargetMode="External"/><Relationship Id="rId5" Type="http://schemas.openxmlformats.org/officeDocument/2006/relationships/hyperlink" Target="http://report.nih.gov/FileLink.aspx?rid=824" TargetMode="External"/><Relationship Id="rId6" Type="http://schemas.openxmlformats.org/officeDocument/2006/relationships/hyperlink" Target="http://report.nih.gov/FileLink.aspx?rid=824" TargetMode="External"/><Relationship Id="rId7" Type="http://schemas.openxmlformats.org/officeDocument/2006/relationships/hyperlink" Target="http://grants.nih.gov/grants/guide/notice-files/NOT-OD-12-035.html" TargetMode="External"/><Relationship Id="rId8" Type="http://schemas.openxmlformats.org/officeDocument/2006/relationships/hyperlink" Target="http://grants.nih.gov/grants/guide/notice-files/NOT-OD-12-035.html" TargetMode="External"/><Relationship Id="rId9" Type="http://schemas.openxmlformats.org/officeDocument/2006/relationships/hyperlink" Target="http://grants.nih.gov/grants/guide/notice-files/NOT-OD-12-035.html" TargetMode="External"/><Relationship Id="rId10" Type="http://schemas.openxmlformats.org/officeDocument/2006/relationships/hyperlink" Target="http://grants.nih.gov/grants/guide/notice-files/NOT-OD-12-035.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enableFormatConditionsCalculation="0">
    <pageSetUpPr fitToPage="1"/>
  </sheetPr>
  <dimension ref="A1:AQ100"/>
  <sheetViews>
    <sheetView showGridLines="0" showZeros="0" tabSelected="1" zoomScale="125" zoomScaleNormal="125" zoomScalePageLayoutView="125" workbookViewId="0">
      <selection activeCell="B2" sqref="B2"/>
    </sheetView>
  </sheetViews>
  <sheetFormatPr baseColWidth="10" defaultColWidth="8.83203125" defaultRowHeight="12" x14ac:dyDescent="0"/>
  <cols>
    <col min="1" max="1" width="4.6640625" style="47" customWidth="1"/>
    <col min="2" max="2" width="8.6640625" customWidth="1"/>
    <col min="3" max="3" width="8.33203125" customWidth="1"/>
    <col min="4" max="4" width="9.33203125" customWidth="1"/>
    <col min="5" max="5" width="14.6640625" customWidth="1"/>
    <col min="6" max="6" width="9" customWidth="1"/>
    <col min="7" max="7" width="9.33203125" customWidth="1"/>
    <col min="8" max="8" width="13.5" customWidth="1"/>
    <col min="9" max="9" width="8.33203125" bestFit="1" customWidth="1"/>
    <col min="10" max="10" width="9.5" customWidth="1"/>
    <col min="11" max="11" width="8.6640625" customWidth="1"/>
    <col min="13" max="13" width="9" customWidth="1"/>
    <col min="14" max="14" width="11" customWidth="1"/>
    <col min="15" max="15" width="0.83203125" customWidth="1"/>
    <col min="16" max="16" width="11.1640625" customWidth="1"/>
    <col min="17" max="17" width="8" customWidth="1"/>
    <col min="19" max="21" width="8" customWidth="1"/>
    <col min="22" max="22" width="7" customWidth="1"/>
    <col min="23" max="23" width="20.33203125" customWidth="1"/>
    <col min="24" max="24" width="19" customWidth="1"/>
    <col min="25" max="25" width="27" customWidth="1"/>
    <col min="26" max="26" width="20.33203125" customWidth="1"/>
    <col min="27" max="31" width="8" customWidth="1"/>
    <col min="32" max="32" width="9.1640625" customWidth="1"/>
    <col min="33" max="33" width="8.33203125" hidden="1" customWidth="1"/>
    <col min="34" max="34" width="10.5" hidden="1" customWidth="1"/>
    <col min="35" max="36" width="10.33203125" hidden="1" customWidth="1"/>
    <col min="37" max="37" width="9" hidden="1" customWidth="1"/>
    <col min="38" max="38" width="9.1640625" customWidth="1"/>
  </cols>
  <sheetData>
    <row r="1" spans="1:37" ht="51" customHeight="1" thickBot="1">
      <c r="A1" s="242"/>
      <c r="B1" s="513" t="s">
        <v>192</v>
      </c>
      <c r="C1" s="243"/>
      <c r="D1" s="243"/>
      <c r="E1" s="541"/>
      <c r="F1" s="243"/>
      <c r="G1" s="243"/>
      <c r="H1" s="243"/>
      <c r="I1" s="243"/>
      <c r="J1" s="243"/>
      <c r="K1" s="243"/>
      <c r="L1" s="243"/>
      <c r="M1" s="243"/>
      <c r="N1" s="243"/>
      <c r="O1" s="55"/>
      <c r="P1" s="244"/>
      <c r="Q1" s="55"/>
      <c r="R1" s="581" t="s">
        <v>156</v>
      </c>
      <c r="S1" s="581"/>
      <c r="T1" s="581"/>
      <c r="U1" s="581"/>
      <c r="V1" s="581"/>
      <c r="W1" s="581"/>
      <c r="X1" s="581"/>
      <c r="Y1" s="581"/>
      <c r="Z1" s="581"/>
      <c r="AA1" s="55"/>
      <c r="AB1" s="55"/>
      <c r="AC1" s="55"/>
      <c r="AD1" s="55"/>
      <c r="AE1" s="55"/>
    </row>
    <row r="2" spans="1:37" ht="26.25" customHeight="1" thickBot="1">
      <c r="D2" s="583" t="s">
        <v>195</v>
      </c>
      <c r="E2" s="583"/>
      <c r="F2" s="583"/>
      <c r="G2" s="583"/>
      <c r="H2" s="583"/>
      <c r="I2" s="583"/>
      <c r="J2" s="583"/>
      <c r="K2" s="583"/>
      <c r="L2" s="583"/>
      <c r="R2" s="574" t="s">
        <v>157</v>
      </c>
      <c r="S2" s="575"/>
      <c r="T2" s="575" t="s">
        <v>158</v>
      </c>
      <c r="U2" s="575"/>
      <c r="V2" s="575"/>
      <c r="W2" s="575" t="s">
        <v>159</v>
      </c>
      <c r="X2" s="575" t="s">
        <v>160</v>
      </c>
      <c r="Y2" s="575" t="s">
        <v>185</v>
      </c>
      <c r="Z2" s="621" t="s">
        <v>162</v>
      </c>
    </row>
    <row r="3" spans="1:37" ht="12.75" customHeight="1" thickTop="1" thickBot="1">
      <c r="A3" s="152"/>
      <c r="B3" s="36"/>
      <c r="C3" s="36"/>
      <c r="D3" s="36"/>
      <c r="E3" s="36"/>
      <c r="F3" s="36"/>
      <c r="G3" s="36"/>
      <c r="H3" s="36"/>
      <c r="I3" s="36"/>
      <c r="J3" s="36"/>
      <c r="K3" s="36"/>
      <c r="L3" s="36"/>
      <c r="M3" s="36"/>
      <c r="N3" s="36"/>
      <c r="O3" s="36"/>
      <c r="P3" s="50"/>
      <c r="Q3" s="35"/>
      <c r="R3" s="576"/>
      <c r="S3" s="577"/>
      <c r="T3" s="577"/>
      <c r="U3" s="577"/>
      <c r="V3" s="577"/>
      <c r="W3" s="577"/>
      <c r="X3" s="577"/>
      <c r="Y3" s="577"/>
      <c r="Z3" s="622"/>
      <c r="AA3" s="160"/>
      <c r="AB3" s="35"/>
      <c r="AC3" s="35"/>
      <c r="AD3" s="35"/>
      <c r="AE3" s="35"/>
    </row>
    <row r="4" spans="1:37">
      <c r="A4" s="64"/>
      <c r="B4" s="212" t="s">
        <v>125</v>
      </c>
      <c r="C4" s="73"/>
      <c r="D4" s="73"/>
      <c r="E4" s="35"/>
      <c r="F4" s="35"/>
      <c r="G4" s="35"/>
      <c r="H4" s="35"/>
      <c r="I4" s="35"/>
      <c r="J4" s="35"/>
      <c r="K4" s="35"/>
      <c r="L4" s="266" t="s">
        <v>81</v>
      </c>
      <c r="M4" s="266"/>
      <c r="N4" s="382" t="s">
        <v>119</v>
      </c>
      <c r="O4" s="378"/>
      <c r="P4" s="380" t="s">
        <v>118</v>
      </c>
      <c r="Q4" s="35"/>
      <c r="R4" s="578" t="s">
        <v>163</v>
      </c>
      <c r="S4" s="579"/>
      <c r="T4" s="623" t="s">
        <v>164</v>
      </c>
      <c r="U4" s="624"/>
      <c r="V4" s="579"/>
      <c r="W4" s="625" t="s">
        <v>186</v>
      </c>
      <c r="X4" s="626" t="s">
        <v>165</v>
      </c>
      <c r="Y4" s="626" t="s">
        <v>166</v>
      </c>
      <c r="Z4" s="627" t="s">
        <v>167</v>
      </c>
      <c r="AA4" s="160"/>
      <c r="AB4" s="35"/>
      <c r="AC4" s="35"/>
      <c r="AD4" s="35"/>
      <c r="AE4" s="35"/>
    </row>
    <row r="5" spans="1:37" ht="13.5" hidden="1" customHeight="1">
      <c r="A5" s="64"/>
      <c r="B5" s="212"/>
      <c r="H5" s="35"/>
      <c r="I5" s="35"/>
      <c r="J5" s="35"/>
      <c r="K5" s="35"/>
      <c r="L5" s="136"/>
      <c r="M5" s="383"/>
      <c r="N5" s="88"/>
      <c r="O5" s="35"/>
      <c r="P5" s="381"/>
      <c r="Q5" s="35"/>
      <c r="R5" s="552"/>
      <c r="S5" s="553"/>
      <c r="T5" s="560"/>
      <c r="U5" s="561"/>
      <c r="V5" s="553"/>
      <c r="W5" s="547"/>
      <c r="X5" s="547"/>
      <c r="Y5" s="547"/>
      <c r="Z5" s="569"/>
      <c r="AA5" s="160"/>
      <c r="AB5" s="35"/>
      <c r="AC5" s="35"/>
      <c r="AD5" s="35"/>
      <c r="AE5" s="35"/>
    </row>
    <row r="6" spans="1:37" ht="30" hidden="1" customHeight="1">
      <c r="A6" s="64"/>
      <c r="B6" s="31"/>
      <c r="H6" s="159"/>
      <c r="I6" s="53"/>
      <c r="L6" s="413"/>
      <c r="M6" s="383"/>
      <c r="N6" s="88"/>
      <c r="O6" s="35"/>
      <c r="P6" s="414"/>
      <c r="Q6" s="49"/>
      <c r="R6" s="552"/>
      <c r="S6" s="553"/>
      <c r="T6" s="560"/>
      <c r="U6" s="561"/>
      <c r="V6" s="553"/>
      <c r="W6" s="547"/>
      <c r="X6" s="547"/>
      <c r="Y6" s="547"/>
      <c r="Z6" s="569"/>
      <c r="AA6" s="538"/>
      <c r="AB6" s="49"/>
      <c r="AC6" s="49"/>
      <c r="AD6" s="49"/>
      <c r="AE6" s="49"/>
    </row>
    <row r="7" spans="1:37" ht="12.75" customHeight="1">
      <c r="A7" s="64"/>
      <c r="B7" s="31"/>
      <c r="D7" s="602"/>
      <c r="E7" s="603"/>
      <c r="H7" s="159"/>
      <c r="I7" s="53"/>
      <c r="J7" s="35"/>
      <c r="K7" s="35"/>
      <c r="L7" s="413" t="s">
        <v>126</v>
      </c>
      <c r="M7" s="383">
        <v>9</v>
      </c>
      <c r="N7" s="88">
        <v>166700</v>
      </c>
      <c r="O7" s="35"/>
      <c r="P7" s="414">
        <f t="shared" ref="P7:P17" si="0">N7/12</f>
        <v>13891.666666666666</v>
      </c>
      <c r="Q7" s="35"/>
      <c r="R7" s="552"/>
      <c r="S7" s="553"/>
      <c r="T7" s="560"/>
      <c r="U7" s="561"/>
      <c r="V7" s="553"/>
      <c r="W7" s="547"/>
      <c r="X7" s="547"/>
      <c r="Y7" s="547"/>
      <c r="Z7" s="569"/>
      <c r="AA7" s="160"/>
      <c r="AB7" s="35"/>
      <c r="AC7" s="35"/>
      <c r="AD7" s="35"/>
      <c r="AE7" s="35"/>
      <c r="AG7" s="110" t="s">
        <v>30</v>
      </c>
      <c r="AJ7" s="110" t="s">
        <v>39</v>
      </c>
      <c r="AK7" s="127">
        <f>SUM(AI35:AK35)</f>
        <v>200000</v>
      </c>
    </row>
    <row r="8" spans="1:37" ht="14.25" customHeight="1">
      <c r="A8" s="64"/>
      <c r="B8" s="31"/>
      <c r="C8" s="341" t="s">
        <v>113</v>
      </c>
      <c r="D8" s="604"/>
      <c r="E8" s="605"/>
      <c r="F8" s="342" t="s">
        <v>81</v>
      </c>
      <c r="H8" s="159"/>
      <c r="I8" s="53"/>
      <c r="J8" s="35"/>
      <c r="K8" s="35"/>
      <c r="L8" s="413" t="s">
        <v>127</v>
      </c>
      <c r="M8" s="383">
        <v>10</v>
      </c>
      <c r="N8" s="88">
        <v>171900</v>
      </c>
      <c r="O8" s="35"/>
      <c r="P8" s="414">
        <f t="shared" si="0"/>
        <v>14325</v>
      </c>
      <c r="Q8" s="35"/>
      <c r="R8" s="554"/>
      <c r="S8" s="555"/>
      <c r="T8" s="562"/>
      <c r="U8" s="563"/>
      <c r="V8" s="555"/>
      <c r="W8" s="548"/>
      <c r="X8" s="548"/>
      <c r="Y8" s="548"/>
      <c r="Z8" s="570"/>
      <c r="AA8" s="160"/>
      <c r="AB8" s="35"/>
      <c r="AC8" s="35"/>
      <c r="AD8" s="35"/>
      <c r="AE8" s="35"/>
      <c r="AG8" s="110"/>
      <c r="AJ8" s="110"/>
      <c r="AK8" s="127"/>
    </row>
    <row r="9" spans="1:37" ht="12.75" customHeight="1">
      <c r="A9" s="64"/>
      <c r="B9" s="31"/>
      <c r="D9" s="596"/>
      <c r="E9" s="597"/>
      <c r="F9" s="597"/>
      <c r="G9" s="598"/>
      <c r="H9" s="159"/>
      <c r="I9" s="53"/>
      <c r="J9" s="35"/>
      <c r="K9" s="35"/>
      <c r="L9" s="413" t="s">
        <v>129</v>
      </c>
      <c r="M9" s="383">
        <v>11</v>
      </c>
      <c r="N9" s="88">
        <v>175700</v>
      </c>
      <c r="O9" s="35"/>
      <c r="P9" s="414">
        <f t="shared" si="0"/>
        <v>14641.666666666666</v>
      </c>
      <c r="Q9" s="35"/>
      <c r="R9" s="580" t="s">
        <v>168</v>
      </c>
      <c r="S9" s="567"/>
      <c r="T9" s="567" t="s">
        <v>169</v>
      </c>
      <c r="U9" s="567"/>
      <c r="V9" s="567"/>
      <c r="W9" s="566" t="s">
        <v>187</v>
      </c>
      <c r="X9" s="567" t="s">
        <v>172</v>
      </c>
      <c r="Y9" s="567" t="s">
        <v>173</v>
      </c>
      <c r="Z9" s="582" t="s">
        <v>167</v>
      </c>
      <c r="AA9" s="160"/>
      <c r="AB9" s="35"/>
      <c r="AC9" s="35"/>
      <c r="AD9" s="35"/>
      <c r="AE9" s="35"/>
      <c r="AG9" s="110"/>
      <c r="AJ9" s="110"/>
      <c r="AK9" s="127"/>
    </row>
    <row r="10" spans="1:37" ht="12.75" customHeight="1">
      <c r="A10" s="64"/>
      <c r="B10" s="31"/>
      <c r="C10" s="136" t="s">
        <v>44</v>
      </c>
      <c r="D10" s="599"/>
      <c r="E10" s="600"/>
      <c r="F10" s="600"/>
      <c r="G10" s="601"/>
      <c r="H10" s="159"/>
      <c r="I10" s="53"/>
      <c r="J10" s="35"/>
      <c r="K10" s="35"/>
      <c r="L10" s="413" t="s">
        <v>131</v>
      </c>
      <c r="M10" s="383">
        <v>12</v>
      </c>
      <c r="N10" s="88">
        <v>180100</v>
      </c>
      <c r="O10" s="35"/>
      <c r="P10" s="414">
        <f t="shared" si="0"/>
        <v>15008.333333333334</v>
      </c>
      <c r="Q10" s="35"/>
      <c r="R10" s="580"/>
      <c r="S10" s="567"/>
      <c r="T10" s="567"/>
      <c r="U10" s="567"/>
      <c r="V10" s="567"/>
      <c r="W10" s="567"/>
      <c r="X10" s="567"/>
      <c r="Y10" s="567"/>
      <c r="Z10" s="582"/>
      <c r="AA10" s="160"/>
      <c r="AB10" s="35"/>
      <c r="AC10" s="35"/>
      <c r="AD10" s="35"/>
      <c r="AE10" s="35"/>
      <c r="AG10" s="110"/>
      <c r="AJ10" s="110"/>
      <c r="AK10" s="127"/>
    </row>
    <row r="11" spans="1:37" ht="12.75" customHeight="1">
      <c r="A11" s="64"/>
      <c r="B11" s="31"/>
      <c r="D11" s="596"/>
      <c r="E11" s="597"/>
      <c r="F11" s="597"/>
      <c r="G11" s="598"/>
      <c r="H11" s="159"/>
      <c r="I11" s="53"/>
      <c r="J11" s="35"/>
      <c r="K11" s="35"/>
      <c r="L11" s="413" t="s">
        <v>132</v>
      </c>
      <c r="M11" s="383">
        <v>13</v>
      </c>
      <c r="N11" s="88">
        <v>183500</v>
      </c>
      <c r="O11" s="35"/>
      <c r="P11" s="414">
        <f t="shared" si="0"/>
        <v>15291.666666666666</v>
      </c>
      <c r="Q11" s="35"/>
      <c r="R11" s="580"/>
      <c r="S11" s="567"/>
      <c r="T11" s="567"/>
      <c r="U11" s="567"/>
      <c r="V11" s="567"/>
      <c r="W11" s="567"/>
      <c r="X11" s="567"/>
      <c r="Y11" s="567"/>
      <c r="Z11" s="582"/>
      <c r="AA11" s="160"/>
      <c r="AB11" s="35"/>
      <c r="AC11" s="35"/>
      <c r="AD11" s="35"/>
      <c r="AE11" s="35"/>
      <c r="AG11" s="110"/>
      <c r="AJ11" s="110"/>
      <c r="AK11" s="127"/>
    </row>
    <row r="12" spans="1:37" ht="12.75" customHeight="1">
      <c r="A12" s="64"/>
      <c r="B12" s="31"/>
      <c r="C12" s="136" t="s">
        <v>45</v>
      </c>
      <c r="D12" s="599"/>
      <c r="E12" s="600"/>
      <c r="F12" s="600"/>
      <c r="G12" s="601"/>
      <c r="H12" s="159"/>
      <c r="I12" s="53"/>
      <c r="J12" s="35"/>
      <c r="K12" s="35"/>
      <c r="L12" s="413" t="s">
        <v>134</v>
      </c>
      <c r="M12" s="383">
        <v>14</v>
      </c>
      <c r="N12" s="88">
        <v>186600</v>
      </c>
      <c r="O12" s="35"/>
      <c r="P12" s="414">
        <f t="shared" si="0"/>
        <v>15550</v>
      </c>
      <c r="Q12" s="35"/>
      <c r="R12" s="550" t="s">
        <v>168</v>
      </c>
      <c r="S12" s="551"/>
      <c r="T12" s="558" t="s">
        <v>174</v>
      </c>
      <c r="U12" s="559"/>
      <c r="V12" s="551"/>
      <c r="W12" s="566" t="s">
        <v>187</v>
      </c>
      <c r="X12" s="546" t="s">
        <v>176</v>
      </c>
      <c r="Y12" s="567" t="s">
        <v>173</v>
      </c>
      <c r="Z12" s="568" t="s">
        <v>167</v>
      </c>
      <c r="AA12" s="160"/>
      <c r="AB12" s="35"/>
      <c r="AC12" s="35"/>
      <c r="AD12" s="35"/>
      <c r="AE12" s="35"/>
      <c r="AG12" s="110"/>
      <c r="AJ12" s="110"/>
      <c r="AK12" s="127"/>
    </row>
    <row r="13" spans="1:37">
      <c r="A13" s="64"/>
      <c r="B13" s="31"/>
      <c r="C13" s="136"/>
      <c r="D13" s="136"/>
      <c r="E13" s="411"/>
      <c r="F13" s="412"/>
      <c r="H13" s="159"/>
      <c r="J13" s="35"/>
      <c r="K13" s="35"/>
      <c r="L13" s="341" t="s">
        <v>140</v>
      </c>
      <c r="M13" s="383">
        <v>15</v>
      </c>
      <c r="N13" s="88">
        <v>200000</v>
      </c>
      <c r="O13" s="35"/>
      <c r="P13" s="414">
        <f t="shared" si="0"/>
        <v>16666.666666666668</v>
      </c>
      <c r="Q13" s="35"/>
      <c r="R13" s="552"/>
      <c r="S13" s="553"/>
      <c r="T13" s="560"/>
      <c r="U13" s="561"/>
      <c r="V13" s="553"/>
      <c r="W13" s="567"/>
      <c r="X13" s="547"/>
      <c r="Y13" s="567"/>
      <c r="Z13" s="569"/>
      <c r="AA13" s="160"/>
      <c r="AB13" s="35"/>
      <c r="AC13" s="35"/>
      <c r="AD13" s="35"/>
      <c r="AE13" s="35"/>
      <c r="AG13" s="110"/>
      <c r="AJ13" s="110"/>
      <c r="AK13" s="127"/>
    </row>
    <row r="14" spans="1:37" ht="12" customHeight="1">
      <c r="A14" s="64"/>
      <c r="B14" s="31"/>
      <c r="C14" s="136"/>
      <c r="D14" s="136"/>
      <c r="E14" s="411"/>
      <c r="F14" s="412"/>
      <c r="H14" s="159"/>
      <c r="J14" s="35"/>
      <c r="K14" s="35"/>
      <c r="L14" s="341" t="s">
        <v>136</v>
      </c>
      <c r="M14" s="383">
        <v>16</v>
      </c>
      <c r="N14" s="88">
        <v>191300</v>
      </c>
      <c r="O14" s="35"/>
      <c r="P14" s="414">
        <f t="shared" si="0"/>
        <v>15941.666666666666</v>
      </c>
      <c r="Q14" s="35"/>
      <c r="R14" s="554"/>
      <c r="S14" s="555"/>
      <c r="T14" s="562"/>
      <c r="U14" s="563"/>
      <c r="V14" s="555"/>
      <c r="W14" s="567"/>
      <c r="X14" s="548"/>
      <c r="Y14" s="567"/>
      <c r="Z14" s="570"/>
      <c r="AA14" s="160"/>
      <c r="AB14" s="35"/>
      <c r="AC14" s="35"/>
      <c r="AD14" s="35"/>
      <c r="AE14" s="35"/>
      <c r="AG14" s="110"/>
      <c r="AJ14" s="110"/>
      <c r="AK14" s="127"/>
    </row>
    <row r="15" spans="1:37">
      <c r="A15" s="64"/>
      <c r="B15" s="31"/>
      <c r="C15" s="136"/>
      <c r="D15" s="136"/>
      <c r="E15" s="411"/>
      <c r="F15" s="412"/>
      <c r="H15" s="159"/>
      <c r="I15" s="327"/>
      <c r="J15" s="160"/>
      <c r="K15" s="160"/>
      <c r="L15" s="519" t="s">
        <v>135</v>
      </c>
      <c r="M15" s="516">
        <v>17</v>
      </c>
      <c r="N15" s="517">
        <v>207000</v>
      </c>
      <c r="O15" s="160"/>
      <c r="P15" s="518">
        <f t="shared" si="0"/>
        <v>17250</v>
      </c>
      <c r="Q15" s="35"/>
      <c r="R15" s="550" t="s">
        <v>177</v>
      </c>
      <c r="S15" s="551"/>
      <c r="T15" s="558" t="s">
        <v>169</v>
      </c>
      <c r="U15" s="559"/>
      <c r="V15" s="551"/>
      <c r="W15" s="572" t="s">
        <v>188</v>
      </c>
      <c r="X15" s="546" t="s">
        <v>178</v>
      </c>
      <c r="Y15" s="546" t="s">
        <v>179</v>
      </c>
      <c r="Z15" s="568" t="s">
        <v>167</v>
      </c>
      <c r="AA15" s="160"/>
      <c r="AB15" s="35"/>
      <c r="AC15" s="35"/>
      <c r="AD15" s="35"/>
      <c r="AE15" s="35"/>
      <c r="AG15" s="110"/>
      <c r="AJ15" s="110"/>
      <c r="AK15" s="127"/>
    </row>
    <row r="16" spans="1:37">
      <c r="A16" s="64"/>
      <c r="B16" s="31"/>
      <c r="C16" s="136"/>
      <c r="D16" s="136"/>
      <c r="E16" s="411"/>
      <c r="F16" s="412"/>
      <c r="H16" s="159"/>
      <c r="I16" s="477"/>
      <c r="J16" s="478"/>
      <c r="K16" s="478"/>
      <c r="L16" s="479" t="s">
        <v>151</v>
      </c>
      <c r="M16" s="480">
        <v>18</v>
      </c>
      <c r="N16" s="481">
        <v>196700</v>
      </c>
      <c r="O16" s="478"/>
      <c r="P16" s="482">
        <f t="shared" si="0"/>
        <v>16391.666666666668</v>
      </c>
      <c r="Q16" s="35"/>
      <c r="R16" s="552"/>
      <c r="S16" s="553"/>
      <c r="T16" s="560"/>
      <c r="U16" s="561"/>
      <c r="V16" s="553"/>
      <c r="W16" s="547"/>
      <c r="X16" s="547"/>
      <c r="Y16" s="547"/>
      <c r="Z16" s="569"/>
      <c r="AA16" s="160"/>
      <c r="AB16" s="35"/>
      <c r="AC16" s="35"/>
      <c r="AD16" s="35"/>
      <c r="AE16" s="35"/>
      <c r="AG16" s="110"/>
      <c r="AJ16" s="110"/>
      <c r="AK16" s="127"/>
    </row>
    <row r="17" spans="1:37">
      <c r="A17" s="64"/>
      <c r="B17" s="31"/>
      <c r="C17" s="136"/>
      <c r="D17" s="136"/>
      <c r="E17" s="411"/>
      <c r="F17" s="412"/>
      <c r="H17" s="159"/>
      <c r="I17" s="327"/>
      <c r="J17" s="160"/>
      <c r="K17" s="160"/>
      <c r="L17" s="515" t="s">
        <v>155</v>
      </c>
      <c r="M17" s="516">
        <v>19</v>
      </c>
      <c r="N17" s="517">
        <v>199700</v>
      </c>
      <c r="O17" s="160"/>
      <c r="P17" s="518">
        <f t="shared" si="0"/>
        <v>16641.666666666668</v>
      </c>
      <c r="Q17" s="35"/>
      <c r="R17" s="554"/>
      <c r="S17" s="555"/>
      <c r="T17" s="562"/>
      <c r="U17" s="563"/>
      <c r="V17" s="555"/>
      <c r="W17" s="548"/>
      <c r="X17" s="548"/>
      <c r="Y17" s="548"/>
      <c r="Z17" s="570"/>
      <c r="AA17" s="160"/>
      <c r="AB17" s="35"/>
      <c r="AC17" s="35"/>
      <c r="AD17" s="35"/>
      <c r="AE17" s="35"/>
      <c r="AG17" s="110"/>
      <c r="AJ17" s="110"/>
      <c r="AK17" s="127"/>
    </row>
    <row r="18" spans="1:37">
      <c r="A18" s="64"/>
      <c r="B18" s="31"/>
      <c r="C18" s="136"/>
      <c r="D18" s="136"/>
      <c r="E18" s="411"/>
      <c r="F18" s="412"/>
      <c r="H18" s="159"/>
      <c r="I18" s="203"/>
      <c r="J18" s="466"/>
      <c r="K18" s="466"/>
      <c r="L18" s="514" t="s">
        <v>190</v>
      </c>
      <c r="M18" s="467">
        <v>20</v>
      </c>
      <c r="N18" s="468">
        <v>179700</v>
      </c>
      <c r="O18" s="466"/>
      <c r="P18" s="469">
        <f>N18/12</f>
        <v>14975</v>
      </c>
      <c r="Q18" s="35"/>
      <c r="R18" s="550" t="s">
        <v>177</v>
      </c>
      <c r="S18" s="551"/>
      <c r="T18" s="558" t="s">
        <v>174</v>
      </c>
      <c r="U18" s="559"/>
      <c r="V18" s="551"/>
      <c r="W18" s="572" t="s">
        <v>188</v>
      </c>
      <c r="X18" s="546" t="s">
        <v>176</v>
      </c>
      <c r="Y18" s="546" t="s">
        <v>179</v>
      </c>
      <c r="Z18" s="568" t="s">
        <v>167</v>
      </c>
      <c r="AA18" s="160"/>
      <c r="AB18" s="35"/>
      <c r="AC18" s="35"/>
      <c r="AD18" s="35"/>
      <c r="AE18" s="35"/>
      <c r="AG18" s="110"/>
      <c r="AJ18" s="110"/>
      <c r="AK18" s="127"/>
    </row>
    <row r="19" spans="1:37">
      <c r="A19" s="64"/>
      <c r="B19" s="31"/>
      <c r="C19" s="136"/>
      <c r="D19" s="136"/>
      <c r="E19" s="411"/>
      <c r="F19" s="412"/>
      <c r="H19" s="159"/>
      <c r="I19" s="203"/>
      <c r="J19" s="466"/>
      <c r="K19" s="466"/>
      <c r="L19" s="514" t="s">
        <v>194</v>
      </c>
      <c r="M19" s="467">
        <v>21</v>
      </c>
      <c r="N19" s="468">
        <v>221000</v>
      </c>
      <c r="O19" s="466"/>
      <c r="P19" s="469">
        <f>N19/12</f>
        <v>18416.666666666668</v>
      </c>
      <c r="Q19" s="35"/>
      <c r="R19" s="552"/>
      <c r="S19" s="553"/>
      <c r="T19" s="560"/>
      <c r="U19" s="561"/>
      <c r="V19" s="553"/>
      <c r="W19" s="573"/>
      <c r="X19" s="547"/>
      <c r="Y19" s="547"/>
      <c r="Z19" s="569"/>
      <c r="AA19" s="160"/>
      <c r="AB19" s="35"/>
      <c r="AC19" s="35"/>
      <c r="AD19" s="35"/>
      <c r="AE19" s="35"/>
      <c r="AG19" s="110"/>
      <c r="AJ19" s="110"/>
      <c r="AK19" s="127"/>
    </row>
    <row r="20" spans="1:37" ht="12.75" customHeight="1">
      <c r="A20" s="64"/>
      <c r="B20" s="31"/>
      <c r="C20" s="136"/>
      <c r="D20" s="615"/>
      <c r="E20" s="616"/>
      <c r="F20" s="617"/>
      <c r="H20" s="159"/>
      <c r="I20" s="53"/>
      <c r="J20" s="35"/>
      <c r="K20" s="35"/>
      <c r="L20" s="413"/>
      <c r="M20" s="383"/>
      <c r="N20" s="88"/>
      <c r="O20" s="35"/>
      <c r="P20" s="414"/>
      <c r="Q20" s="35"/>
      <c r="R20" s="552"/>
      <c r="S20" s="553"/>
      <c r="T20" s="560"/>
      <c r="U20" s="561"/>
      <c r="V20" s="553"/>
      <c r="W20" s="547"/>
      <c r="X20" s="547"/>
      <c r="Y20" s="547"/>
      <c r="Z20" s="569"/>
      <c r="AA20" s="160"/>
      <c r="AB20" s="35"/>
      <c r="AC20" s="35"/>
      <c r="AD20" s="35"/>
      <c r="AE20" s="35"/>
      <c r="AG20" s="110"/>
      <c r="AJ20" s="110"/>
      <c r="AK20" s="127"/>
    </row>
    <row r="21" spans="1:37" ht="12.75" customHeight="1" thickBot="1">
      <c r="A21" s="64"/>
      <c r="B21" s="31"/>
      <c r="C21" s="136" t="s">
        <v>80</v>
      </c>
      <c r="D21" s="618"/>
      <c r="E21" s="619"/>
      <c r="F21" s="620"/>
      <c r="H21" s="160"/>
      <c r="I21" s="35"/>
      <c r="J21" s="35"/>
      <c r="K21" s="35"/>
      <c r="L21" s="72"/>
      <c r="M21" s="136" t="s">
        <v>70</v>
      </c>
      <c r="N21" s="132" t="str">
        <f>IF(OR(N32&gt;Fed_Limit,N33&gt;Fed_Limit,N34&gt;Fed_Limit,N35&gt;Fed_Limit),"Yes","No")</f>
        <v>Yes</v>
      </c>
      <c r="O21" s="132"/>
      <c r="P21" s="80"/>
      <c r="Q21" s="132"/>
      <c r="R21" s="556"/>
      <c r="S21" s="557"/>
      <c r="T21" s="564"/>
      <c r="U21" s="565"/>
      <c r="V21" s="557"/>
      <c r="W21" s="549"/>
      <c r="X21" s="549"/>
      <c r="Y21" s="549"/>
      <c r="Z21" s="571"/>
      <c r="AA21" s="132"/>
      <c r="AB21" s="132"/>
      <c r="AC21" s="132"/>
      <c r="AD21" s="132"/>
      <c r="AE21" s="132"/>
      <c r="AG21" s="593" t="s">
        <v>36</v>
      </c>
      <c r="AH21" s="595"/>
      <c r="AI21" s="593" t="s">
        <v>34</v>
      </c>
      <c r="AJ21" s="594"/>
      <c r="AK21" s="595"/>
    </row>
    <row r="22" spans="1:37" ht="5" customHeight="1" thickBot="1">
      <c r="A22" s="153"/>
      <c r="B22" s="37"/>
      <c r="C22" s="37"/>
      <c r="D22" s="37"/>
      <c r="E22" s="37"/>
      <c r="F22" s="37"/>
      <c r="G22" s="37"/>
      <c r="H22" s="37"/>
      <c r="I22" s="37"/>
      <c r="J22" s="37"/>
      <c r="K22" s="37"/>
      <c r="L22" s="37"/>
      <c r="M22" s="37"/>
      <c r="N22" s="37"/>
      <c r="O22" s="37"/>
      <c r="P22" s="52"/>
      <c r="Q22" s="35"/>
      <c r="R22" s="35"/>
      <c r="S22" s="35"/>
      <c r="T22" s="35"/>
      <c r="U22" s="35"/>
      <c r="V22" s="35"/>
      <c r="W22" s="35"/>
      <c r="X22" s="35"/>
      <c r="Y22" s="35"/>
      <c r="Z22" s="35"/>
      <c r="AA22" s="35"/>
      <c r="AB22" s="35"/>
      <c r="AC22" s="35"/>
      <c r="AD22" s="35"/>
      <c r="AE22" s="35"/>
      <c r="AG22" s="123"/>
      <c r="AH22" s="103"/>
      <c r="AI22" s="102"/>
      <c r="AJ22" s="102"/>
      <c r="AK22" s="103"/>
    </row>
    <row r="23" spans="1:37" ht="17.25" customHeight="1" thickTop="1">
      <c r="A23" s="215"/>
      <c r="B23" s="216" t="s">
        <v>79</v>
      </c>
      <c r="C23" s="36"/>
      <c r="D23" s="36"/>
      <c r="E23" s="36"/>
      <c r="F23" s="36"/>
      <c r="G23" s="36"/>
      <c r="H23" s="36"/>
      <c r="I23" s="36"/>
      <c r="J23" s="36"/>
      <c r="K23" s="36"/>
      <c r="L23" s="36"/>
      <c r="M23" s="36"/>
      <c r="N23" s="51"/>
      <c r="O23" s="35"/>
      <c r="P23" s="35"/>
      <c r="Q23" s="35"/>
      <c r="R23" s="542" t="s">
        <v>180</v>
      </c>
      <c r="S23" s="542"/>
      <c r="T23" s="542"/>
      <c r="U23" s="542"/>
      <c r="V23" s="542"/>
      <c r="W23" s="542"/>
      <c r="X23" s="543"/>
      <c r="Y23" s="543"/>
      <c r="Z23" s="543"/>
      <c r="AA23" s="35"/>
      <c r="AB23" s="35"/>
      <c r="AC23" s="35"/>
      <c r="AD23" s="35"/>
      <c r="AE23" s="35"/>
      <c r="AG23" s="123"/>
      <c r="AH23" s="103"/>
      <c r="AI23" s="102"/>
      <c r="AJ23" s="102"/>
      <c r="AK23" s="103"/>
    </row>
    <row r="24" spans="1:37" ht="14.25" customHeight="1">
      <c r="A24" s="64"/>
      <c r="B24" s="434"/>
      <c r="D24" s="56" t="s">
        <v>65</v>
      </c>
      <c r="E24" s="35"/>
      <c r="F24" s="35"/>
      <c r="G24" s="35"/>
      <c r="H24" s="35"/>
      <c r="I24" s="35"/>
      <c r="J24" s="35"/>
      <c r="K24" s="35"/>
      <c r="L24" s="35"/>
      <c r="M24" s="35"/>
      <c r="N24" s="51"/>
      <c r="O24" s="35"/>
      <c r="P24" s="35"/>
      <c r="Q24" s="35"/>
      <c r="R24" s="544" t="s">
        <v>181</v>
      </c>
      <c r="S24" s="544"/>
      <c r="T24" s="544"/>
      <c r="U24" s="544"/>
      <c r="V24" s="544"/>
      <c r="W24" s="544"/>
      <c r="X24" s="544"/>
      <c r="Y24" s="544"/>
      <c r="Z24" s="544"/>
      <c r="AA24" s="35"/>
      <c r="AB24" s="35"/>
      <c r="AC24" s="35"/>
      <c r="AD24" s="35"/>
      <c r="AE24" s="35"/>
      <c r="AG24" s="123"/>
      <c r="AH24" s="103"/>
      <c r="AI24" s="102"/>
      <c r="AJ24" s="102"/>
      <c r="AK24" s="103"/>
    </row>
    <row r="25" spans="1:37" ht="14.25" customHeight="1">
      <c r="A25" s="64"/>
      <c r="B25" s="35"/>
      <c r="C25" s="56"/>
      <c r="D25" s="56"/>
      <c r="E25" s="421">
        <v>200000</v>
      </c>
      <c r="F25" s="330" t="s">
        <v>81</v>
      </c>
      <c r="G25" s="136" t="s">
        <v>0</v>
      </c>
      <c r="H25" s="214">
        <f>IF(ISERROR(IF(E28="",E25/J36,E28)),0,IF(E28="",E25/J36,E28))</f>
        <v>1.9980019980019981</v>
      </c>
      <c r="I25" s="35"/>
      <c r="J25" s="35"/>
      <c r="K25" s="35"/>
      <c r="L25" s="35"/>
      <c r="M25" s="35"/>
      <c r="N25" s="51"/>
      <c r="O25" s="35"/>
      <c r="P25" s="35"/>
      <c r="Q25" s="35"/>
      <c r="R25" s="545" t="s">
        <v>182</v>
      </c>
      <c r="S25" s="545"/>
      <c r="T25" s="545"/>
      <c r="U25" s="545"/>
      <c r="V25" s="545"/>
      <c r="W25" s="545"/>
      <c r="X25" s="545"/>
      <c r="Y25" s="545"/>
      <c r="Z25" s="545"/>
      <c r="AA25" s="35"/>
      <c r="AB25" s="35"/>
      <c r="AC25" s="35"/>
      <c r="AD25" s="35"/>
      <c r="AE25" s="35"/>
      <c r="AG25" s="123"/>
      <c r="AH25" s="103"/>
      <c r="AI25" s="102"/>
      <c r="AJ25" s="102"/>
      <c r="AK25" s="103"/>
    </row>
    <row r="26" spans="1:37" ht="14.25" customHeight="1">
      <c r="A26" s="257"/>
      <c r="B26" s="258"/>
      <c r="C26" s="35"/>
      <c r="D26" s="35"/>
      <c r="E26" s="35"/>
      <c r="F26" s="35"/>
      <c r="G26" s="35"/>
      <c r="H26" s="35"/>
      <c r="I26" s="35"/>
      <c r="J26" s="35"/>
      <c r="K26" s="35"/>
      <c r="L26" s="35"/>
      <c r="M26" s="35"/>
      <c r="N26" s="51"/>
      <c r="O26" s="35"/>
      <c r="P26" s="35"/>
      <c r="Q26" s="35"/>
      <c r="R26" s="35"/>
      <c r="S26" s="35"/>
      <c r="T26" s="49"/>
      <c r="U26" s="35"/>
      <c r="V26" s="136" t="s">
        <v>189</v>
      </c>
      <c r="W26" s="539" t="s">
        <v>183</v>
      </c>
      <c r="X26" s="35"/>
      <c r="Y26" s="263" t="s">
        <v>184</v>
      </c>
      <c r="Z26" s="35"/>
      <c r="AA26" s="35"/>
      <c r="AB26" s="35"/>
      <c r="AC26" s="35"/>
      <c r="AD26" s="35"/>
      <c r="AE26" s="35"/>
      <c r="AG26" s="123"/>
      <c r="AH26" s="103"/>
      <c r="AI26" s="102"/>
      <c r="AJ26" s="102"/>
      <c r="AK26" s="103"/>
    </row>
    <row r="27" spans="1:37" ht="13.5" customHeight="1">
      <c r="A27" s="256"/>
      <c r="B27" s="35"/>
      <c r="D27" s="35" t="s">
        <v>66</v>
      </c>
      <c r="E27" s="35"/>
      <c r="F27" s="35"/>
      <c r="G27" s="35"/>
      <c r="H27" s="35"/>
      <c r="I27" s="35"/>
      <c r="J27" s="35"/>
      <c r="K27" s="35"/>
      <c r="L27" s="35"/>
      <c r="M27" s="35"/>
      <c r="N27" s="51"/>
      <c r="O27" s="35"/>
      <c r="P27" s="35"/>
      <c r="Q27" s="35"/>
      <c r="R27" s="35"/>
      <c r="S27" s="35"/>
      <c r="T27" s="35"/>
      <c r="U27" s="35"/>
      <c r="V27" s="35"/>
      <c r="W27" s="35"/>
      <c r="X27" s="35"/>
      <c r="Y27" s="35"/>
      <c r="Z27" s="35"/>
      <c r="AA27" s="35"/>
      <c r="AB27" s="35"/>
      <c r="AC27" s="35"/>
      <c r="AD27" s="35"/>
      <c r="AE27" s="35"/>
      <c r="AG27" s="123"/>
      <c r="AH27" s="103"/>
      <c r="AI27" s="102"/>
      <c r="AJ27" s="102"/>
      <c r="AK27" s="103"/>
    </row>
    <row r="28" spans="1:37" ht="13.5" customHeight="1">
      <c r="A28" s="64"/>
      <c r="B28" s="35"/>
      <c r="C28" s="35"/>
      <c r="D28" s="35"/>
      <c r="E28" s="422"/>
      <c r="F28" s="213"/>
      <c r="G28" s="35" t="s">
        <v>74</v>
      </c>
      <c r="H28" s="247">
        <f>IF(ISERROR(IF(E25="",E28*J36,E25)),0,IF(E25="",E28*J36,E25))</f>
        <v>200000</v>
      </c>
      <c r="I28" s="35"/>
      <c r="J28" s="35"/>
      <c r="K28" s="35"/>
      <c r="L28" s="35"/>
      <c r="M28" s="35"/>
      <c r="N28" s="51"/>
      <c r="O28" s="35"/>
      <c r="P28" s="35"/>
      <c r="Q28" s="35"/>
      <c r="R28" s="35"/>
      <c r="S28" s="35"/>
      <c r="T28" s="49"/>
      <c r="U28" s="35"/>
      <c r="V28" s="35"/>
      <c r="W28" s="35"/>
      <c r="X28" s="35"/>
      <c r="Y28" s="35"/>
      <c r="Z28" s="35"/>
      <c r="AA28" s="35"/>
      <c r="AB28" s="35"/>
      <c r="AC28" s="35"/>
      <c r="AD28" s="35"/>
      <c r="AE28" s="35"/>
      <c r="AG28" s="123"/>
      <c r="AH28" s="103"/>
      <c r="AI28" s="102"/>
      <c r="AJ28" s="102"/>
      <c r="AK28" s="103"/>
    </row>
    <row r="29" spans="1:37" ht="13" thickBot="1">
      <c r="A29" s="153"/>
      <c r="B29" s="217"/>
      <c r="C29" s="217"/>
      <c r="D29" s="217"/>
      <c r="E29" s="246"/>
      <c r="F29" s="37"/>
      <c r="G29" s="37"/>
      <c r="H29" s="37"/>
      <c r="I29" s="37"/>
      <c r="J29" s="37"/>
      <c r="K29" s="37"/>
      <c r="L29" s="37"/>
      <c r="M29" s="37"/>
      <c r="N29" s="52"/>
      <c r="AG29" s="124" t="s">
        <v>32</v>
      </c>
      <c r="AH29" s="104" t="s">
        <v>37</v>
      </c>
      <c r="AI29" s="120" t="s">
        <v>38</v>
      </c>
      <c r="AJ29" s="122" t="s">
        <v>35</v>
      </c>
      <c r="AK29" s="121" t="s">
        <v>33</v>
      </c>
    </row>
    <row r="30" spans="1:37" ht="13" thickTop="1">
      <c r="A30" s="64"/>
      <c r="B30" s="35"/>
      <c r="D30" s="146" t="s">
        <v>43</v>
      </c>
      <c r="E30" s="423">
        <v>1</v>
      </c>
      <c r="F30" s="262" t="s">
        <v>81</v>
      </c>
      <c r="G30" s="161"/>
      <c r="H30" s="161"/>
      <c r="I30" s="276"/>
      <c r="J30" s="141" t="s">
        <v>42</v>
      </c>
      <c r="K30" s="93"/>
      <c r="L30" s="93"/>
      <c r="M30" s="93"/>
      <c r="N30" s="142"/>
      <c r="O30" s="86" t="s">
        <v>40</v>
      </c>
      <c r="P30" s="86"/>
      <c r="Q30" s="86"/>
      <c r="R30" s="86"/>
      <c r="S30" s="86"/>
      <c r="T30" s="86"/>
      <c r="U30" s="86"/>
      <c r="V30" s="86"/>
      <c r="W30" s="86"/>
      <c r="X30" s="86"/>
      <c r="Y30" s="86"/>
      <c r="Z30" s="86"/>
      <c r="AA30" s="86"/>
      <c r="AB30" s="86"/>
      <c r="AC30" s="86"/>
      <c r="AD30" s="86"/>
      <c r="AE30" s="86"/>
      <c r="AG30" s="113" t="s">
        <v>141</v>
      </c>
      <c r="AH30" s="106">
        <f t="array" ref="AH30">SUM(IF($A$41:$A$61&lt;&gt;"x",$J$41:$J$61,0))</f>
        <v>0.50049999999999994</v>
      </c>
      <c r="AI30" s="116">
        <f>AH30*$N$35</f>
        <v>100099.99999999999</v>
      </c>
      <c r="AJ30" s="116">
        <f>AJ83*Fed_Limit</f>
        <v>0</v>
      </c>
      <c r="AK30" s="84">
        <f>AK83*12</f>
        <v>0</v>
      </c>
    </row>
    <row r="31" spans="1:37" ht="13">
      <c r="A31" s="64"/>
      <c r="B31" s="35"/>
      <c r="D31" s="136" t="s">
        <v>1</v>
      </c>
      <c r="E31" s="424">
        <v>3</v>
      </c>
      <c r="F31" s="262" t="s">
        <v>81</v>
      </c>
      <c r="H31" s="162"/>
      <c r="I31" s="56"/>
      <c r="J31" s="471" t="s">
        <v>141</v>
      </c>
      <c r="K31" s="57" t="s">
        <v>3</v>
      </c>
      <c r="L31" s="57" t="s">
        <v>4</v>
      </c>
      <c r="M31" s="57" t="s">
        <v>5</v>
      </c>
      <c r="N31" s="58" t="s">
        <v>6</v>
      </c>
      <c r="O31" s="132"/>
      <c r="P31" s="132"/>
      <c r="Q31" s="132"/>
      <c r="R31" s="132"/>
      <c r="S31" s="132"/>
      <c r="T31" s="132"/>
      <c r="U31" s="132"/>
      <c r="V31" s="132"/>
      <c r="W31" s="132"/>
      <c r="X31" s="132"/>
      <c r="Y31" s="132"/>
      <c r="Z31" s="132"/>
      <c r="AA31" s="132"/>
      <c r="AB31" s="132"/>
      <c r="AC31" s="132"/>
      <c r="AD31" s="132"/>
      <c r="AE31" s="132"/>
      <c r="AG31" s="114" t="s">
        <v>3</v>
      </c>
      <c r="AH31" s="107">
        <f t="array" ref="AH31">SUM(IF($A$41:$A$61&lt;&gt;"x",$K$41:$K$61,0))</f>
        <v>0.15</v>
      </c>
      <c r="AI31" s="117">
        <f>AH31*$N$35</f>
        <v>30000</v>
      </c>
      <c r="AJ31" s="117">
        <f>AJ84*Fed_Limit</f>
        <v>0</v>
      </c>
      <c r="AK31" s="99">
        <f>AK84*12</f>
        <v>0</v>
      </c>
    </row>
    <row r="32" spans="1:37">
      <c r="A32" s="282"/>
      <c r="B32" s="56"/>
      <c r="D32" s="136" t="s">
        <v>86</v>
      </c>
      <c r="E32" s="425"/>
      <c r="F32" s="262" t="s">
        <v>81</v>
      </c>
      <c r="H32" s="162"/>
      <c r="I32" s="56"/>
      <c r="J32" s="277">
        <f>IF(Instructor="",0,VLOOKUP(Instructor,Instr_Range,2))</f>
        <v>0</v>
      </c>
      <c r="K32" s="39">
        <f>SUM(Instr_Tot_HST)</f>
        <v>0</v>
      </c>
      <c r="L32" s="39">
        <f>IF(Scale&gt;=4,SUM(Instr_Tot_HSR),0)</f>
        <v>0</v>
      </c>
      <c r="M32" s="39">
        <f>((N32-(Instr_base+SUM(Instr_Tot_HST)+SUM(Instr_Tot_HSR))))</f>
        <v>0</v>
      </c>
      <c r="N32" s="240">
        <f>J32*H25</f>
        <v>0</v>
      </c>
      <c r="O32" s="132"/>
      <c r="P32" s="132"/>
      <c r="Q32" s="132"/>
      <c r="R32" s="132"/>
      <c r="S32" s="132"/>
      <c r="T32" s="132"/>
      <c r="U32" s="132"/>
      <c r="V32" s="132"/>
      <c r="W32" s="132"/>
      <c r="X32" s="132"/>
      <c r="Y32" s="132"/>
      <c r="Z32" s="132"/>
      <c r="AA32" s="132"/>
      <c r="AB32" s="132"/>
      <c r="AC32" s="132"/>
      <c r="AD32" s="132"/>
      <c r="AE32" s="132"/>
      <c r="AG32" s="114"/>
      <c r="AH32" s="107"/>
      <c r="AI32" s="117"/>
      <c r="AJ32" s="117"/>
      <c r="AK32" s="99"/>
    </row>
    <row r="33" spans="1:38">
      <c r="A33" s="64"/>
      <c r="B33" s="35"/>
      <c r="D33" s="136" t="s">
        <v>67</v>
      </c>
      <c r="E33" s="425"/>
      <c r="F33" s="162"/>
      <c r="G33" s="162"/>
      <c r="H33" s="162"/>
      <c r="I33" s="56"/>
      <c r="J33" s="38">
        <f>IF(Assistant="",0,VLOOKUP(Assistant,Asst_Prof,2))</f>
        <v>0</v>
      </c>
      <c r="K33" s="39">
        <f>SUM(Asst_Tot_HST)</f>
        <v>0</v>
      </c>
      <c r="L33" s="39">
        <f>IF(Scale&gt;=4,SUM(Asst_Tot_HSR),0)</f>
        <v>0</v>
      </c>
      <c r="M33" s="39">
        <f>((N33-(Asst_Base+SUM(Asst_Tot_HST)+SUM(Asst_Tot_HSR))))</f>
        <v>0</v>
      </c>
      <c r="N33" s="240">
        <f>J33*H25</f>
        <v>0</v>
      </c>
      <c r="O33" s="49"/>
      <c r="P33" s="49"/>
      <c r="Q33" s="165"/>
      <c r="R33" s="154"/>
      <c r="S33" s="49"/>
      <c r="T33" s="49"/>
      <c r="U33" s="49"/>
      <c r="V33" s="49"/>
      <c r="W33" s="49"/>
      <c r="X33" s="49"/>
      <c r="Y33" s="49"/>
      <c r="Z33" s="49"/>
      <c r="AA33" s="49"/>
      <c r="AB33" s="49"/>
      <c r="AC33" s="49"/>
      <c r="AD33" s="49"/>
      <c r="AE33" s="49"/>
      <c r="AG33" s="114" t="s">
        <v>4</v>
      </c>
      <c r="AH33" s="107">
        <f t="array" ref="AH33">SUM(IF($A$41:$A$61&lt;&gt;"x",$L$41:$L$61,0))</f>
        <v>0</v>
      </c>
      <c r="AI33" s="117">
        <f>AH33*$N$35</f>
        <v>0</v>
      </c>
      <c r="AJ33" s="117">
        <f>AJ85*Fed_Limit</f>
        <v>0</v>
      </c>
      <c r="AK33" s="99">
        <f>AK85*12</f>
        <v>0</v>
      </c>
    </row>
    <row r="34" spans="1:38">
      <c r="A34" s="64"/>
      <c r="B34" s="35"/>
      <c r="D34" s="136" t="s">
        <v>68</v>
      </c>
      <c r="E34" s="425"/>
      <c r="F34" s="162"/>
      <c r="G34" s="162"/>
      <c r="H34" s="162"/>
      <c r="I34" s="56"/>
      <c r="J34" s="38">
        <f>IF(Associate= "",0,VLOOKUP(Associate,Assoc_Prof,2))</f>
        <v>0</v>
      </c>
      <c r="K34" s="39">
        <f>SUM(Assoc_Tot_HST)</f>
        <v>0</v>
      </c>
      <c r="L34" s="39">
        <f>IF(Scale&gt;=4,SUM(Assoc_Tot_HSR),0)</f>
        <v>0</v>
      </c>
      <c r="M34" s="39">
        <f>(N34-(Assoc_Base+SUM(Assoc_Tot_HST)+SUM(Assoc_Tot_HSR)))</f>
        <v>0</v>
      </c>
      <c r="N34" s="240">
        <f>J34*H25</f>
        <v>0</v>
      </c>
      <c r="O34" s="49"/>
      <c r="P34" s="49"/>
      <c r="Q34" s="49"/>
      <c r="R34" s="49"/>
      <c r="S34" s="49"/>
      <c r="T34" s="49"/>
      <c r="U34" s="49"/>
      <c r="V34" s="49"/>
      <c r="W34" s="49"/>
      <c r="X34" s="49"/>
      <c r="Y34" s="49"/>
      <c r="Z34" s="49"/>
      <c r="AA34" s="49"/>
      <c r="AB34" s="49"/>
      <c r="AC34" s="49"/>
      <c r="AD34" s="49"/>
      <c r="AE34" s="49"/>
      <c r="AG34" s="115" t="s">
        <v>5</v>
      </c>
      <c r="AH34" s="108">
        <f t="array" ref="AH34">SUM(IF($A$41:$A$61&lt;&gt;"x",$M$41:$M$61,0))</f>
        <v>0.34950000000000003</v>
      </c>
      <c r="AI34" s="118">
        <f>AH34*$N$35</f>
        <v>69900</v>
      </c>
      <c r="AJ34" s="118">
        <f>AJ86*Fed_Limit</f>
        <v>0</v>
      </c>
      <c r="AK34" s="101">
        <f>AK86*12</f>
        <v>0</v>
      </c>
    </row>
    <row r="35" spans="1:38" ht="13" thickBot="1">
      <c r="A35" s="153"/>
      <c r="B35" s="37"/>
      <c r="C35" s="37"/>
      <c r="D35" s="164" t="s">
        <v>69</v>
      </c>
      <c r="E35" s="426">
        <v>2</v>
      </c>
      <c r="F35" s="163"/>
      <c r="G35" s="163"/>
      <c r="H35" s="163"/>
      <c r="I35" s="61"/>
      <c r="J35" s="40">
        <f>IF(Prof= "",0,VLOOKUP(Prof,professor,2))</f>
        <v>100100</v>
      </c>
      <c r="K35" s="48">
        <f>SUM(Prof_Tot_HST)</f>
        <v>30000</v>
      </c>
      <c r="L35" s="48">
        <f>IF(Scale&gt;=4,SUM(Prof_Tot_HSR),0)</f>
        <v>0</v>
      </c>
      <c r="M35" s="41">
        <f>(N35-(Prof_Base+SUM(Prof_Tot_HST)+SUM(Prof_Tot_HSR)))</f>
        <v>69900</v>
      </c>
      <c r="N35" s="219">
        <f>J35*H25</f>
        <v>200000</v>
      </c>
      <c r="O35" s="130"/>
      <c r="P35" s="130"/>
      <c r="Q35" s="130"/>
      <c r="R35" s="130"/>
      <c r="S35" s="130"/>
      <c r="T35" s="130"/>
      <c r="U35" s="130"/>
      <c r="V35" s="130"/>
      <c r="W35" s="130"/>
      <c r="X35" s="130"/>
      <c r="Y35" s="130"/>
      <c r="Z35" s="130"/>
      <c r="AA35" s="130"/>
      <c r="AB35" s="130"/>
      <c r="AC35" s="130"/>
      <c r="AD35" s="130"/>
      <c r="AE35" s="130"/>
      <c r="AG35" s="125" t="s">
        <v>6</v>
      </c>
      <c r="AH35" s="126">
        <f>SUM(AH30:AH34)</f>
        <v>1</v>
      </c>
      <c r="AI35" s="119">
        <f>SUM(AI30:AI34)</f>
        <v>200000</v>
      </c>
      <c r="AJ35" s="119">
        <f>SUM(AJ30:AJ34)</f>
        <v>0</v>
      </c>
      <c r="AK35" s="105">
        <f>SUM(AK30:AK34)</f>
        <v>0</v>
      </c>
    </row>
    <row r="36" spans="1:38" ht="13" thickTop="1">
      <c r="C36" s="35"/>
      <c r="D36" s="35"/>
      <c r="E36" s="35"/>
      <c r="F36" s="35"/>
      <c r="G36" s="35"/>
      <c r="H36" s="81"/>
      <c r="I36" s="237" t="s">
        <v>71</v>
      </c>
      <c r="J36" s="238">
        <f>SUM(J32:J35)</f>
        <v>100100</v>
      </c>
      <c r="K36" s="238">
        <f>SUM(K32:K35)</f>
        <v>30000</v>
      </c>
      <c r="L36" s="238">
        <f>SUM(L32:L35)</f>
        <v>0</v>
      </c>
      <c r="M36" s="238">
        <f>SUM(M32:M35)</f>
        <v>69900</v>
      </c>
      <c r="N36" s="238">
        <f>SUM(N32:N35)</f>
        <v>200000</v>
      </c>
      <c r="O36" s="49"/>
      <c r="P36" s="49"/>
      <c r="Q36" s="49"/>
      <c r="R36" s="49"/>
      <c r="S36" s="49"/>
      <c r="T36" s="49"/>
      <c r="U36" s="49"/>
      <c r="V36" s="49"/>
      <c r="W36" s="49"/>
      <c r="X36" s="49"/>
      <c r="Y36" s="49"/>
      <c r="Z36" s="49"/>
      <c r="AA36" s="49"/>
      <c r="AB36" s="49"/>
      <c r="AC36" s="49"/>
      <c r="AD36" s="49"/>
      <c r="AE36" s="49"/>
      <c r="AG36" s="8" t="s">
        <v>6</v>
      </c>
      <c r="AH36" s="109"/>
      <c r="AI36" s="100"/>
      <c r="AJ36" s="101"/>
      <c r="AK36" s="105"/>
    </row>
    <row r="37" spans="1:38">
      <c r="B37" s="264"/>
      <c r="C37" s="35"/>
      <c r="D37" s="35"/>
      <c r="E37" s="35"/>
      <c r="F37" s="35"/>
      <c r="G37" s="35"/>
      <c r="H37" s="62"/>
      <c r="I37" s="236" t="s">
        <v>72</v>
      </c>
      <c r="J37" s="239">
        <f>J36/12</f>
        <v>8341.6666666666661</v>
      </c>
      <c r="K37" s="239">
        <f>K36/12</f>
        <v>2500</v>
      </c>
      <c r="L37" s="239">
        <f>L36/12</f>
        <v>0</v>
      </c>
      <c r="M37" s="239">
        <f>M36/12</f>
        <v>5825</v>
      </c>
      <c r="N37" s="239">
        <f>N36/12</f>
        <v>16666.666666666668</v>
      </c>
      <c r="O37" s="131"/>
      <c r="P37" s="131"/>
      <c r="Q37" s="131"/>
      <c r="R37" s="131"/>
      <c r="S37" s="131"/>
      <c r="T37" s="131"/>
      <c r="U37" s="131"/>
      <c r="V37" s="131"/>
      <c r="W37" s="131"/>
      <c r="X37" s="131"/>
      <c r="Y37" s="131"/>
      <c r="Z37" s="131"/>
      <c r="AA37" s="131"/>
      <c r="AB37" s="131"/>
      <c r="AC37" s="131"/>
      <c r="AD37" s="131"/>
      <c r="AE37" s="131"/>
      <c r="AG37" s="35"/>
      <c r="AH37" s="49"/>
      <c r="AI37" s="49"/>
      <c r="AJ37" s="49"/>
      <c r="AK37" s="130"/>
    </row>
    <row r="38" spans="1:38" ht="13" thickBot="1">
      <c r="A38" s="263" t="s">
        <v>81</v>
      </c>
      <c r="G38" s="377"/>
      <c r="I38" s="375" t="s">
        <v>117</v>
      </c>
      <c r="J38" s="376">
        <f>ROUND(IF(N36&gt;0,J36/N36*E30,0),4)</f>
        <v>0.50049999999999994</v>
      </c>
      <c r="K38" s="376">
        <f>ROUND(IF(N36&gt;0,K36/N36*E30,0),4)</f>
        <v>0.15</v>
      </c>
      <c r="L38" s="376">
        <f>ROUND(IF(N36&gt;0,L36/N36*E30,0),4)</f>
        <v>0</v>
      </c>
      <c r="M38" s="376">
        <f>SUM(N38-L38-K38-J38)</f>
        <v>0.34950000000000003</v>
      </c>
      <c r="N38" s="376">
        <f>E30</f>
        <v>1</v>
      </c>
      <c r="P38" s="263" t="s">
        <v>81</v>
      </c>
      <c r="Q38" s="137"/>
      <c r="R38" s="137"/>
      <c r="S38" s="137"/>
      <c r="T38" s="137"/>
      <c r="U38" s="137"/>
      <c r="V38" s="137"/>
      <c r="W38" s="137"/>
      <c r="X38" s="137"/>
      <c r="Y38" s="137"/>
      <c r="Z38" s="137"/>
      <c r="AA38" s="137"/>
      <c r="AB38" s="137"/>
      <c r="AC38" s="137"/>
      <c r="AD38" s="137"/>
      <c r="AE38" s="137"/>
      <c r="AL38" s="54"/>
    </row>
    <row r="39" spans="1:38" ht="13" thickBot="1">
      <c r="A39" s="245" t="s">
        <v>49</v>
      </c>
      <c r="B39" s="166"/>
      <c r="C39" s="144"/>
      <c r="D39" s="147"/>
      <c r="E39" s="145"/>
      <c r="F39" s="10"/>
      <c r="G39" s="10"/>
      <c r="H39" s="10"/>
      <c r="I39" s="11"/>
      <c r="J39" s="147" t="s">
        <v>7</v>
      </c>
      <c r="K39" s="10"/>
      <c r="L39" s="10"/>
      <c r="M39" s="11"/>
      <c r="N39" s="20"/>
      <c r="O39" s="35"/>
      <c r="P39" s="536" t="s">
        <v>87</v>
      </c>
      <c r="Q39" s="44"/>
      <c r="R39" s="44"/>
      <c r="S39" s="44"/>
      <c r="T39" s="537"/>
      <c r="U39" s="531"/>
      <c r="V39" s="531"/>
      <c r="W39" s="531"/>
      <c r="X39" s="531"/>
      <c r="Y39" s="531"/>
      <c r="Z39" s="531"/>
      <c r="AA39" s="531"/>
      <c r="AB39" s="531"/>
      <c r="AC39" s="531"/>
      <c r="AD39" s="531"/>
      <c r="AE39" s="86"/>
      <c r="AF39" s="133" t="s">
        <v>40</v>
      </c>
      <c r="AG39" s="86" t="s">
        <v>40</v>
      </c>
      <c r="AH39" s="6"/>
      <c r="AI39" s="6"/>
      <c r="AJ39" s="6"/>
      <c r="AK39" s="5"/>
    </row>
    <row r="40" spans="1:38" ht="40.5" customHeight="1" thickBot="1">
      <c r="A40" s="230" t="s">
        <v>46</v>
      </c>
      <c r="B40" s="231" t="s">
        <v>152</v>
      </c>
      <c r="C40" s="232" t="s">
        <v>51</v>
      </c>
      <c r="D40" s="232" t="s">
        <v>130</v>
      </c>
      <c r="E40" s="233" t="s">
        <v>50</v>
      </c>
      <c r="F40" s="234" t="s">
        <v>47</v>
      </c>
      <c r="G40" s="234" t="s">
        <v>89</v>
      </c>
      <c r="H40" s="234" t="s">
        <v>88</v>
      </c>
      <c r="I40" s="235" t="s">
        <v>48</v>
      </c>
      <c r="J40" s="472" t="s">
        <v>142</v>
      </c>
      <c r="K40" s="59" t="s">
        <v>3</v>
      </c>
      <c r="L40" s="59" t="s">
        <v>4</v>
      </c>
      <c r="M40" s="60" t="s">
        <v>5</v>
      </c>
      <c r="N40" s="227" t="s">
        <v>9</v>
      </c>
      <c r="O40" s="133" t="s">
        <v>40</v>
      </c>
      <c r="P40" s="532" t="s">
        <v>143</v>
      </c>
      <c r="Q40" s="533" t="s">
        <v>16</v>
      </c>
      <c r="R40" s="533" t="s">
        <v>41</v>
      </c>
      <c r="S40" s="534" t="s">
        <v>17</v>
      </c>
      <c r="T40" s="535" t="s">
        <v>6</v>
      </c>
      <c r="U40" s="133"/>
      <c r="V40" s="133"/>
      <c r="W40" s="133"/>
      <c r="X40" s="133"/>
      <c r="Y40" s="133"/>
      <c r="Z40" s="133"/>
      <c r="AA40" s="133"/>
      <c r="AB40" s="133"/>
      <c r="AC40" s="133"/>
      <c r="AD40" s="133"/>
      <c r="AE40" s="133"/>
      <c r="AH40" s="4" t="s">
        <v>11</v>
      </c>
      <c r="AI40" s="6"/>
      <c r="AJ40" s="6"/>
      <c r="AK40" s="5"/>
    </row>
    <row r="41" spans="1:38" ht="2.25" customHeight="1" thickBot="1">
      <c r="A41" s="169"/>
      <c r="B41" s="17"/>
      <c r="C41" s="35"/>
      <c r="D41" s="35"/>
      <c r="E41" s="35"/>
      <c r="F41" s="35"/>
      <c r="G41" s="35"/>
      <c r="H41" s="35"/>
      <c r="I41" s="149"/>
      <c r="J41" s="172"/>
      <c r="K41" s="173"/>
      <c r="L41" s="173"/>
      <c r="M41" s="173"/>
      <c r="N41" s="56"/>
      <c r="O41" s="56"/>
      <c r="P41" s="530"/>
      <c r="Q41" s="224"/>
      <c r="R41" s="224"/>
      <c r="S41" s="224"/>
      <c r="T41" s="287"/>
      <c r="U41" s="56"/>
      <c r="V41" s="56"/>
      <c r="W41" s="56"/>
      <c r="X41" s="56"/>
      <c r="Y41" s="56"/>
      <c r="Z41" s="56"/>
      <c r="AA41" s="56"/>
      <c r="AB41" s="56"/>
      <c r="AC41" s="56"/>
      <c r="AD41" s="56"/>
      <c r="AE41" s="56"/>
      <c r="AF41" s="1"/>
    </row>
    <row r="42" spans="1:38">
      <c r="A42" s="419">
        <v>20</v>
      </c>
      <c r="B42" s="427"/>
      <c r="C42" s="422"/>
      <c r="D42" s="431"/>
      <c r="E42" s="422"/>
      <c r="F42" s="428">
        <v>0.1</v>
      </c>
      <c r="G42" s="429"/>
      <c r="H42" s="168">
        <f>IF(ISERROR(IF(A42="",I42*(Annual_Salary/12),I42*(VLOOKUP(A42,SalaryLimits,2,FALSE))/12)),0,IF(A42="",I42*(Annual_Salary/12),I42*(VLOOKUP(A42,SalaryLimits,2,FALSE))/12))</f>
        <v>1497.5</v>
      </c>
      <c r="I42" s="349">
        <f>IF(ISERROR(ROUND(IF(AND(F42="",A42=""),G42/(Annual_Salary/12),IF(AND(F42="",A42&lt;&gt;""),G42/(VLOOKUP(A42,SalaryLimits,2,FALSE)/12),F42)),4)),0,ROUND(IF(AND(F42="",A42=""),G42/(Annual_Salary/12),IF(AND(F42="",A42&lt;&gt;""),G42/(VLOOKUP(A42,SalaryLimits,2,FALSE)/12),F42)),4))</f>
        <v>0.1</v>
      </c>
      <c r="J42" s="170">
        <f t="shared" ref="J42:J50" si="1">IF(ISERROR(IF(I42&lt;J78,I42,J78)),0,IF(I42&lt;J78,I42,J78))</f>
        <v>0.1</v>
      </c>
      <c r="K42" s="115">
        <f t="shared" ref="K42:K61" si="2">IF(ISERROR(IF(AH42&lt;K78,AH42,K78)),0,IF(AH42&lt;K78,AH42,K78))</f>
        <v>0</v>
      </c>
      <c r="L42" s="115">
        <f t="shared" ref="L42:L61" si="3">IF(ISERROR(IF(AI42&lt;L78,AI42,L78)),0,IF(AI42&lt;L78,AI42,L78))</f>
        <v>0</v>
      </c>
      <c r="M42" s="171">
        <f t="shared" ref="M42:M61" si="4">IF(ISERROR(IF(AJ42&lt;M78,AJ42,M78)),0,IF(AJ42&lt;M78,AJ42,M78))</f>
        <v>0</v>
      </c>
      <c r="N42" s="228">
        <f t="shared" ref="N42:N61" si="5">SUM(J42:M42)</f>
        <v>0.1</v>
      </c>
      <c r="O42" s="111"/>
      <c r="P42" s="138">
        <f>IF(OR(OverCAP="No",A42=""),0,(J42*(Annual_Salary/12))-(J42*(VLOOKUP(A42,SalaryLimits,2,FALSE)/12)))</f>
        <v>169.16666666666697</v>
      </c>
      <c r="Q42" s="138">
        <f>IF(OR(OverCAP="No",A42=""),0,(K42*(Annual_Salary/12))-(K42*(VLOOKUP(A42,SalaryLimits,2,FALSE)/12)))</f>
        <v>0</v>
      </c>
      <c r="R42" s="138">
        <f>IF(OR(OverCAP="No",A42=""),0,(L42*(Annual_Salary/12))-(L42*(VLOOKUP(A42,SalaryLimits,2,FALSE)/12)))</f>
        <v>0</v>
      </c>
      <c r="S42" s="138">
        <f>IF(OR(OverCAP="No",A42=""),0,(M42*(Annual_Salary/12))-(M42*(VLOOKUP(A42,SalaryLimits,2,FALSE)/12)))</f>
        <v>0</v>
      </c>
      <c r="T42" s="357">
        <f>SUM(P42:S42)</f>
        <v>169.16666666666697</v>
      </c>
      <c r="U42" s="220"/>
      <c r="V42" s="220"/>
      <c r="W42" s="220"/>
      <c r="X42" s="220"/>
      <c r="Y42" s="220"/>
      <c r="Z42" s="220"/>
      <c r="AA42" s="220"/>
      <c r="AB42" s="220"/>
      <c r="AC42" s="220"/>
      <c r="AD42" s="220"/>
      <c r="AE42" s="220"/>
      <c r="AF42" s="1"/>
      <c r="AH42" s="68">
        <f t="shared" ref="AH42:AH61" si="6">I42-J42</f>
        <v>0</v>
      </c>
      <c r="AI42" s="69">
        <f t="shared" ref="AI42:AI61" si="7">I42-J42-K42</f>
        <v>0</v>
      </c>
      <c r="AJ42" s="70">
        <f t="shared" ref="AJ42:AJ61" si="8">I42-J42-K42-L42</f>
        <v>0</v>
      </c>
      <c r="AK42" s="69">
        <f t="shared" ref="AK42:AK61" si="9">I42-J42-K42-L42-M42</f>
        <v>0</v>
      </c>
    </row>
    <row r="43" spans="1:38">
      <c r="A43" s="420">
        <v>20</v>
      </c>
      <c r="B43" s="427"/>
      <c r="C43" s="422"/>
      <c r="D43" s="431"/>
      <c r="E43" s="422"/>
      <c r="F43" s="428">
        <v>0.1</v>
      </c>
      <c r="G43" s="430"/>
      <c r="H43" s="168">
        <f>IF(ISERROR(IF(A43="",I43*(Annual_Salary/12),I43*(VLOOKUP(A43,SalaryLimits,2,FALSE))/12)),0,IF(A43="",I43*(Annual_Salary/12),I43*(VLOOKUP(A43,SalaryLimits,2,FALSE))/12))</f>
        <v>1497.5</v>
      </c>
      <c r="I43" s="349">
        <f t="shared" ref="I43:I60" si="10">IF(ISERROR(ROUND(IF(AND(F43="",A43=""),G43/(Annual_Salary/12),IF(AND(F43="",A43&lt;&gt;""),G43/(VLOOKUP(A43,SalaryLimits,2,FALSE)/12),F43)),4)),0,ROUND(IF(AND(F43="",A43=""),G43/(Annual_Salary/12),IF(AND(F43="",A43&lt;&gt;""),G43/(VLOOKUP(A43,SalaryLimits,2,FALSE)/12),F43)),4))</f>
        <v>0.1</v>
      </c>
      <c r="J43" s="148">
        <f t="shared" si="1"/>
        <v>0.1</v>
      </c>
      <c r="K43" s="65">
        <f t="shared" si="2"/>
        <v>0</v>
      </c>
      <c r="L43" s="65">
        <f t="shared" si="3"/>
        <v>0</v>
      </c>
      <c r="M43" s="66">
        <f t="shared" si="4"/>
        <v>0</v>
      </c>
      <c r="N43" s="229">
        <f t="shared" si="5"/>
        <v>0.1</v>
      </c>
      <c r="O43" s="111"/>
      <c r="P43" s="225">
        <f t="shared" ref="P43:P60" si="11">IF(OR(OverCAP="No",A43=""),0,(J43*(Annual_Salary/12))-(J43*(VLOOKUP(A43,SalaryLimits,2,FALSE)/12)))</f>
        <v>169.16666666666697</v>
      </c>
      <c r="Q43" s="226">
        <f t="shared" ref="Q43:Q60" si="12">IF(OR(OverCAP="No",A43=""),0,(K43*(Annual_Salary/12))-(K43*(VLOOKUP(A43,SalaryLimits,2,FALSE)/12)))</f>
        <v>0</v>
      </c>
      <c r="R43" s="226">
        <f t="shared" ref="R43:R60" si="13">IF(OR(OverCAP="No",A43=""),0,(L43*(Annual_Salary/12))-(L43*(VLOOKUP(A43,SalaryLimits,2,FALSE)/12)))</f>
        <v>0</v>
      </c>
      <c r="S43" s="226">
        <f t="shared" ref="S43:S60" si="14">IF(OR(OverCAP="No",A43=""),0,(M43*(Annual_Salary/12))-(M43*(VLOOKUP(A43,SalaryLimits,2,FALSE)/12)))</f>
        <v>0</v>
      </c>
      <c r="T43" s="357">
        <f t="shared" ref="T43:T61" si="15">SUM(P43:S43)</f>
        <v>169.16666666666697</v>
      </c>
      <c r="U43" s="220"/>
      <c r="V43" s="220"/>
      <c r="W43" s="220"/>
      <c r="X43" s="220"/>
      <c r="Y43" s="220"/>
      <c r="Z43" s="220"/>
      <c r="AA43" s="220"/>
      <c r="AB43" s="220"/>
      <c r="AC43" s="220"/>
      <c r="AD43" s="220"/>
      <c r="AE43" s="220"/>
      <c r="AF43" s="1"/>
      <c r="AH43" s="68">
        <f t="shared" si="6"/>
        <v>0</v>
      </c>
      <c r="AI43" s="69">
        <f t="shared" si="7"/>
        <v>0</v>
      </c>
      <c r="AJ43" s="70">
        <f t="shared" si="8"/>
        <v>0</v>
      </c>
      <c r="AK43" s="69">
        <f t="shared" si="9"/>
        <v>0</v>
      </c>
    </row>
    <row r="44" spans="1:38">
      <c r="A44" s="419">
        <v>20</v>
      </c>
      <c r="B44" s="427"/>
      <c r="C44" s="422"/>
      <c r="D44" s="431"/>
      <c r="E44" s="422"/>
      <c r="F44" s="428">
        <v>0.1</v>
      </c>
      <c r="G44" s="430"/>
      <c r="H44" s="168">
        <f t="shared" ref="H44:H60" si="16">IF(ISERROR(IF(A44="",I44*(Annual_Salary/12),I44*(VLOOKUP(A44,SalaryLimits,2,FALSE))/12)),0,IF(A44="",I44*(Annual_Salary/12),I44*(VLOOKUP(A44,SalaryLimits,2,FALSE))/12))</f>
        <v>1497.5</v>
      </c>
      <c r="I44" s="349">
        <f t="shared" si="10"/>
        <v>0.1</v>
      </c>
      <c r="J44" s="148">
        <f t="shared" si="1"/>
        <v>0.1</v>
      </c>
      <c r="K44" s="65">
        <f t="shared" si="2"/>
        <v>0</v>
      </c>
      <c r="L44" s="65">
        <f t="shared" si="3"/>
        <v>0</v>
      </c>
      <c r="M44" s="66">
        <f t="shared" si="4"/>
        <v>0</v>
      </c>
      <c r="N44" s="229">
        <f t="shared" si="5"/>
        <v>0.1</v>
      </c>
      <c r="O44" s="111"/>
      <c r="P44" s="225">
        <f t="shared" si="11"/>
        <v>169.16666666666697</v>
      </c>
      <c r="Q44" s="226">
        <f t="shared" si="12"/>
        <v>0</v>
      </c>
      <c r="R44" s="226">
        <f t="shared" si="13"/>
        <v>0</v>
      </c>
      <c r="S44" s="226">
        <f t="shared" si="14"/>
        <v>0</v>
      </c>
      <c r="T44" s="357">
        <f t="shared" si="15"/>
        <v>169.16666666666697</v>
      </c>
      <c r="U44" s="220"/>
      <c r="V44" s="220"/>
      <c r="W44" s="220"/>
      <c r="X44" s="220"/>
      <c r="Y44" s="220"/>
      <c r="Z44" s="220"/>
      <c r="AA44" s="220"/>
      <c r="AB44" s="220"/>
      <c r="AC44" s="220"/>
      <c r="AD44" s="220"/>
      <c r="AE44" s="220"/>
      <c r="AF44" s="1"/>
      <c r="AH44" s="68">
        <f t="shared" si="6"/>
        <v>0</v>
      </c>
      <c r="AI44" s="69">
        <f t="shared" si="7"/>
        <v>0</v>
      </c>
      <c r="AJ44" s="70">
        <f t="shared" si="8"/>
        <v>0</v>
      </c>
      <c r="AK44" s="69">
        <f t="shared" si="9"/>
        <v>0</v>
      </c>
    </row>
    <row r="45" spans="1:38">
      <c r="A45" s="419">
        <v>20</v>
      </c>
      <c r="B45" s="427"/>
      <c r="C45" s="422"/>
      <c r="D45" s="431"/>
      <c r="E45" s="422"/>
      <c r="F45" s="428">
        <v>0.1</v>
      </c>
      <c r="G45" s="430"/>
      <c r="H45" s="168">
        <f t="shared" si="16"/>
        <v>1497.5</v>
      </c>
      <c r="I45" s="349">
        <f t="shared" si="10"/>
        <v>0.1</v>
      </c>
      <c r="J45" s="148">
        <f t="shared" si="1"/>
        <v>0.1</v>
      </c>
      <c r="K45" s="65">
        <f t="shared" si="2"/>
        <v>0</v>
      </c>
      <c r="L45" s="65">
        <f t="shared" si="3"/>
        <v>0</v>
      </c>
      <c r="M45" s="66">
        <f t="shared" si="4"/>
        <v>0</v>
      </c>
      <c r="N45" s="229">
        <f t="shared" si="5"/>
        <v>0.1</v>
      </c>
      <c r="O45" s="111"/>
      <c r="P45" s="225">
        <f t="shared" si="11"/>
        <v>169.16666666666697</v>
      </c>
      <c r="Q45" s="226">
        <f t="shared" si="12"/>
        <v>0</v>
      </c>
      <c r="R45" s="226">
        <f t="shared" si="13"/>
        <v>0</v>
      </c>
      <c r="S45" s="226">
        <f t="shared" si="14"/>
        <v>0</v>
      </c>
      <c r="T45" s="357">
        <f t="shared" si="15"/>
        <v>169.16666666666697</v>
      </c>
      <c r="U45" s="220"/>
      <c r="V45" s="220"/>
      <c r="W45" s="220"/>
      <c r="X45" s="220"/>
      <c r="Y45" s="220"/>
      <c r="Z45" s="220"/>
      <c r="AA45" s="220"/>
      <c r="AB45" s="220"/>
      <c r="AC45" s="220"/>
      <c r="AD45" s="220"/>
      <c r="AE45" s="220"/>
      <c r="AF45" s="1"/>
      <c r="AH45" s="68">
        <f t="shared" si="6"/>
        <v>0</v>
      </c>
      <c r="AI45" s="69">
        <f t="shared" si="7"/>
        <v>0</v>
      </c>
      <c r="AJ45" s="70">
        <f t="shared" si="8"/>
        <v>0</v>
      </c>
      <c r="AK45" s="69">
        <f t="shared" si="9"/>
        <v>0</v>
      </c>
    </row>
    <row r="46" spans="1:38">
      <c r="A46" s="419">
        <v>20</v>
      </c>
      <c r="B46" s="427"/>
      <c r="C46" s="422"/>
      <c r="D46" s="431"/>
      <c r="E46" s="422"/>
      <c r="F46" s="428">
        <v>0.1</v>
      </c>
      <c r="G46" s="430"/>
      <c r="H46" s="168">
        <f t="shared" si="16"/>
        <v>1497.5</v>
      </c>
      <c r="I46" s="349">
        <f t="shared" si="10"/>
        <v>0.1</v>
      </c>
      <c r="J46" s="148">
        <f t="shared" si="1"/>
        <v>0.1</v>
      </c>
      <c r="K46" s="65">
        <f t="shared" si="2"/>
        <v>0</v>
      </c>
      <c r="L46" s="65">
        <f t="shared" si="3"/>
        <v>0</v>
      </c>
      <c r="M46" s="66">
        <f t="shared" si="4"/>
        <v>0</v>
      </c>
      <c r="N46" s="229">
        <f t="shared" si="5"/>
        <v>0.1</v>
      </c>
      <c r="O46" s="111"/>
      <c r="P46" s="225">
        <f t="shared" si="11"/>
        <v>169.16666666666697</v>
      </c>
      <c r="Q46" s="226">
        <f t="shared" si="12"/>
        <v>0</v>
      </c>
      <c r="R46" s="226">
        <f t="shared" si="13"/>
        <v>0</v>
      </c>
      <c r="S46" s="226">
        <f t="shared" si="14"/>
        <v>0</v>
      </c>
      <c r="T46" s="357">
        <f t="shared" si="15"/>
        <v>169.16666666666697</v>
      </c>
      <c r="U46" s="220"/>
      <c r="V46" s="220"/>
      <c r="W46" s="220"/>
      <c r="X46" s="220"/>
      <c r="Y46" s="220"/>
      <c r="Z46" s="220"/>
      <c r="AA46" s="220"/>
      <c r="AB46" s="220"/>
      <c r="AC46" s="220"/>
      <c r="AD46" s="220"/>
      <c r="AE46" s="220"/>
      <c r="AF46" s="1"/>
      <c r="AH46" s="68">
        <f t="shared" si="6"/>
        <v>0</v>
      </c>
      <c r="AI46" s="69">
        <f t="shared" si="7"/>
        <v>0</v>
      </c>
      <c r="AJ46" s="70">
        <f t="shared" si="8"/>
        <v>0</v>
      </c>
      <c r="AK46" s="69">
        <f t="shared" si="9"/>
        <v>0</v>
      </c>
    </row>
    <row r="47" spans="1:38">
      <c r="A47" s="419"/>
      <c r="B47" s="427"/>
      <c r="C47" s="422"/>
      <c r="D47" s="431"/>
      <c r="E47" s="422"/>
      <c r="F47" s="428">
        <v>0.1</v>
      </c>
      <c r="G47" s="430"/>
      <c r="H47" s="168">
        <f t="shared" si="16"/>
        <v>1666.666666666667</v>
      </c>
      <c r="I47" s="349">
        <f t="shared" si="10"/>
        <v>0.1</v>
      </c>
      <c r="J47" s="148">
        <f t="shared" si="1"/>
        <v>4.9999999999997269E-4</v>
      </c>
      <c r="K47" s="65">
        <f t="shared" si="2"/>
        <v>9.9500000000000033E-2</v>
      </c>
      <c r="L47" s="65">
        <f t="shared" si="3"/>
        <v>0</v>
      </c>
      <c r="M47" s="66">
        <f t="shared" si="4"/>
        <v>0</v>
      </c>
      <c r="N47" s="229">
        <f t="shared" si="5"/>
        <v>0.1</v>
      </c>
      <c r="O47" s="111"/>
      <c r="P47" s="225">
        <f t="shared" si="11"/>
        <v>0</v>
      </c>
      <c r="Q47" s="226">
        <f t="shared" si="12"/>
        <v>0</v>
      </c>
      <c r="R47" s="226">
        <f t="shared" si="13"/>
        <v>0</v>
      </c>
      <c r="S47" s="226">
        <f t="shared" si="14"/>
        <v>0</v>
      </c>
      <c r="T47" s="357">
        <f t="shared" si="15"/>
        <v>0</v>
      </c>
      <c r="U47" s="220"/>
      <c r="V47" s="220"/>
      <c r="W47" s="220"/>
      <c r="X47" s="220"/>
      <c r="Y47" s="220"/>
      <c r="Z47" s="220"/>
      <c r="AA47" s="220"/>
      <c r="AB47" s="220"/>
      <c r="AC47" s="220"/>
      <c r="AD47" s="220"/>
      <c r="AE47" s="220"/>
      <c r="AF47" s="1"/>
      <c r="AH47" s="68">
        <f t="shared" si="6"/>
        <v>9.9500000000000033E-2</v>
      </c>
      <c r="AI47" s="69">
        <f t="shared" si="7"/>
        <v>0</v>
      </c>
      <c r="AJ47" s="70">
        <f t="shared" si="8"/>
        <v>0</v>
      </c>
      <c r="AK47" s="69">
        <f t="shared" si="9"/>
        <v>0</v>
      </c>
    </row>
    <row r="48" spans="1:38">
      <c r="A48" s="419"/>
      <c r="B48" s="427"/>
      <c r="C48" s="422"/>
      <c r="D48" s="431"/>
      <c r="E48" s="422"/>
      <c r="F48" s="428">
        <v>0.1</v>
      </c>
      <c r="G48" s="430"/>
      <c r="H48" s="168">
        <f t="shared" si="16"/>
        <v>1666.666666666667</v>
      </c>
      <c r="I48" s="349">
        <f t="shared" si="10"/>
        <v>0.1</v>
      </c>
      <c r="J48" s="148">
        <f t="shared" si="1"/>
        <v>0</v>
      </c>
      <c r="K48" s="65">
        <f t="shared" si="2"/>
        <v>5.0499999999999962E-2</v>
      </c>
      <c r="L48" s="65">
        <f t="shared" si="3"/>
        <v>0</v>
      </c>
      <c r="M48" s="66">
        <f t="shared" si="4"/>
        <v>4.9500000000000044E-2</v>
      </c>
      <c r="N48" s="229">
        <f t="shared" si="5"/>
        <v>0.1</v>
      </c>
      <c r="O48" s="111"/>
      <c r="P48" s="225">
        <f t="shared" si="11"/>
        <v>0</v>
      </c>
      <c r="Q48" s="226">
        <f t="shared" si="12"/>
        <v>0</v>
      </c>
      <c r="R48" s="226">
        <f t="shared" si="13"/>
        <v>0</v>
      </c>
      <c r="S48" s="226">
        <f t="shared" si="14"/>
        <v>0</v>
      </c>
      <c r="T48" s="357">
        <f t="shared" si="15"/>
        <v>0</v>
      </c>
      <c r="U48" s="220"/>
      <c r="V48" s="220"/>
      <c r="W48" s="220"/>
      <c r="X48" s="220"/>
      <c r="Y48" s="220"/>
      <c r="Z48" s="220"/>
      <c r="AA48" s="220"/>
      <c r="AB48" s="220"/>
      <c r="AC48" s="220"/>
      <c r="AD48" s="220"/>
      <c r="AE48" s="220"/>
      <c r="AF48" s="1"/>
      <c r="AH48" s="68">
        <f t="shared" si="6"/>
        <v>0.1</v>
      </c>
      <c r="AI48" s="69">
        <f t="shared" si="7"/>
        <v>4.9500000000000044E-2</v>
      </c>
      <c r="AJ48" s="70">
        <f t="shared" si="8"/>
        <v>4.9500000000000044E-2</v>
      </c>
      <c r="AK48" s="69">
        <f t="shared" si="9"/>
        <v>0</v>
      </c>
    </row>
    <row r="49" spans="1:39">
      <c r="A49" s="419">
        <v>20</v>
      </c>
      <c r="B49" s="427"/>
      <c r="C49" s="431"/>
      <c r="D49" s="431"/>
      <c r="E49" s="422"/>
      <c r="F49" s="428">
        <v>0.1</v>
      </c>
      <c r="G49" s="430"/>
      <c r="H49" s="168">
        <f t="shared" si="16"/>
        <v>1497.5</v>
      </c>
      <c r="I49" s="349">
        <f t="shared" si="10"/>
        <v>0.1</v>
      </c>
      <c r="J49" s="148">
        <f t="shared" si="1"/>
        <v>0</v>
      </c>
      <c r="K49" s="65">
        <f t="shared" si="2"/>
        <v>0</v>
      </c>
      <c r="L49" s="65">
        <f t="shared" si="3"/>
        <v>0</v>
      </c>
      <c r="M49" s="66">
        <f t="shared" si="4"/>
        <v>0.1</v>
      </c>
      <c r="N49" s="229">
        <f t="shared" si="5"/>
        <v>0.1</v>
      </c>
      <c r="O49" s="111"/>
      <c r="P49" s="225">
        <f t="shared" si="11"/>
        <v>0</v>
      </c>
      <c r="Q49" s="226">
        <f t="shared" si="12"/>
        <v>0</v>
      </c>
      <c r="R49" s="226">
        <f t="shared" si="13"/>
        <v>0</v>
      </c>
      <c r="S49" s="226">
        <f t="shared" si="14"/>
        <v>169.16666666666697</v>
      </c>
      <c r="T49" s="357">
        <f t="shared" si="15"/>
        <v>169.16666666666697</v>
      </c>
      <c r="U49" s="220"/>
      <c r="V49" s="220"/>
      <c r="W49" s="220"/>
      <c r="X49" s="220"/>
      <c r="Y49" s="220"/>
      <c r="Z49" s="220"/>
      <c r="AA49" s="220"/>
      <c r="AB49" s="220"/>
      <c r="AC49" s="220"/>
      <c r="AD49" s="220"/>
      <c r="AE49" s="220"/>
      <c r="AF49" s="1"/>
      <c r="AH49" s="68">
        <f t="shared" si="6"/>
        <v>0.1</v>
      </c>
      <c r="AI49" s="69">
        <f t="shared" si="7"/>
        <v>0.1</v>
      </c>
      <c r="AJ49" s="70">
        <f t="shared" si="8"/>
        <v>0.1</v>
      </c>
      <c r="AK49" s="69">
        <f t="shared" si="9"/>
        <v>0</v>
      </c>
    </row>
    <row r="50" spans="1:39">
      <c r="A50" s="419"/>
      <c r="B50" s="427"/>
      <c r="C50" s="431"/>
      <c r="D50" s="431"/>
      <c r="E50" s="422"/>
      <c r="F50" s="428"/>
      <c r="G50" s="430"/>
      <c r="H50" s="168">
        <f t="shared" si="16"/>
        <v>0</v>
      </c>
      <c r="I50" s="349">
        <f t="shared" si="10"/>
        <v>0</v>
      </c>
      <c r="J50" s="148">
        <f t="shared" si="1"/>
        <v>0</v>
      </c>
      <c r="K50" s="65">
        <f t="shared" si="2"/>
        <v>0</v>
      </c>
      <c r="L50" s="65">
        <f t="shared" si="3"/>
        <v>0</v>
      </c>
      <c r="M50" s="66">
        <f t="shared" si="4"/>
        <v>0</v>
      </c>
      <c r="N50" s="229">
        <f t="shared" si="5"/>
        <v>0</v>
      </c>
      <c r="O50" s="111"/>
      <c r="P50" s="225">
        <f t="shared" si="11"/>
        <v>0</v>
      </c>
      <c r="Q50" s="226">
        <f t="shared" si="12"/>
        <v>0</v>
      </c>
      <c r="R50" s="226">
        <f t="shared" si="13"/>
        <v>0</v>
      </c>
      <c r="S50" s="226">
        <f t="shared" si="14"/>
        <v>0</v>
      </c>
      <c r="T50" s="357">
        <f t="shared" si="15"/>
        <v>0</v>
      </c>
      <c r="U50" s="220"/>
      <c r="V50" s="220"/>
      <c r="W50" s="220"/>
      <c r="X50" s="220"/>
      <c r="Y50" s="220"/>
      <c r="Z50" s="220"/>
      <c r="AA50" s="220"/>
      <c r="AB50" s="220"/>
      <c r="AC50" s="220"/>
      <c r="AD50" s="220"/>
      <c r="AE50" s="220"/>
      <c r="AF50" s="1"/>
      <c r="AH50" s="68">
        <f t="shared" si="6"/>
        <v>0</v>
      </c>
      <c r="AI50" s="69">
        <f t="shared" si="7"/>
        <v>0</v>
      </c>
      <c r="AJ50" s="70">
        <f t="shared" si="8"/>
        <v>0</v>
      </c>
      <c r="AK50" s="69">
        <f t="shared" si="9"/>
        <v>0</v>
      </c>
    </row>
    <row r="51" spans="1:39">
      <c r="A51" s="419"/>
      <c r="B51" s="427"/>
      <c r="C51" s="431"/>
      <c r="D51" s="431"/>
      <c r="E51" s="422"/>
      <c r="F51" s="428"/>
      <c r="G51" s="430"/>
      <c r="H51" s="168">
        <f t="shared" si="16"/>
        <v>0</v>
      </c>
      <c r="I51" s="349">
        <f t="shared" si="10"/>
        <v>0</v>
      </c>
      <c r="J51" s="148">
        <f t="shared" ref="J51:J61" si="17">IF(ISERROR(IF(I51&lt;J87,I51,J87)),0,IF(I51&lt;J87,I51,J87))</f>
        <v>0</v>
      </c>
      <c r="K51" s="65">
        <f t="shared" si="2"/>
        <v>0</v>
      </c>
      <c r="L51" s="65">
        <f t="shared" si="3"/>
        <v>0</v>
      </c>
      <c r="M51" s="66">
        <f t="shared" si="4"/>
        <v>0</v>
      </c>
      <c r="N51" s="229">
        <f t="shared" si="5"/>
        <v>0</v>
      </c>
      <c r="O51" s="111"/>
      <c r="P51" s="225">
        <f t="shared" si="11"/>
        <v>0</v>
      </c>
      <c r="Q51" s="226">
        <f t="shared" si="12"/>
        <v>0</v>
      </c>
      <c r="R51" s="226">
        <f t="shared" si="13"/>
        <v>0</v>
      </c>
      <c r="S51" s="226">
        <f t="shared" si="14"/>
        <v>0</v>
      </c>
      <c r="T51" s="357">
        <f t="shared" si="15"/>
        <v>0</v>
      </c>
      <c r="U51" s="220"/>
      <c r="V51" s="220"/>
      <c r="W51" s="220"/>
      <c r="X51" s="220"/>
      <c r="Y51" s="220"/>
      <c r="Z51" s="220"/>
      <c r="AA51" s="220"/>
      <c r="AB51" s="220"/>
      <c r="AC51" s="220"/>
      <c r="AD51" s="220"/>
      <c r="AE51" s="220"/>
      <c r="AF51" s="1"/>
      <c r="AH51" s="68">
        <f t="shared" si="6"/>
        <v>0</v>
      </c>
      <c r="AI51" s="69">
        <f t="shared" si="7"/>
        <v>0</v>
      </c>
      <c r="AJ51" s="70">
        <f t="shared" si="8"/>
        <v>0</v>
      </c>
      <c r="AK51" s="69">
        <f t="shared" si="9"/>
        <v>0</v>
      </c>
    </row>
    <row r="52" spans="1:39">
      <c r="A52" s="419"/>
      <c r="B52" s="427"/>
      <c r="C52" s="431"/>
      <c r="D52" s="431"/>
      <c r="E52" s="422"/>
      <c r="F52" s="428"/>
      <c r="G52" s="430"/>
      <c r="H52" s="168">
        <f t="shared" si="16"/>
        <v>0</v>
      </c>
      <c r="I52" s="349">
        <f t="shared" si="10"/>
        <v>0</v>
      </c>
      <c r="J52" s="148">
        <f t="shared" si="17"/>
        <v>0</v>
      </c>
      <c r="K52" s="65">
        <f t="shared" si="2"/>
        <v>0</v>
      </c>
      <c r="L52" s="65">
        <f t="shared" si="3"/>
        <v>0</v>
      </c>
      <c r="M52" s="66">
        <f t="shared" si="4"/>
        <v>0</v>
      </c>
      <c r="N52" s="229">
        <f t="shared" si="5"/>
        <v>0</v>
      </c>
      <c r="O52" s="111"/>
      <c r="P52" s="225">
        <f t="shared" si="11"/>
        <v>0</v>
      </c>
      <c r="Q52" s="226">
        <f t="shared" si="12"/>
        <v>0</v>
      </c>
      <c r="R52" s="226">
        <f t="shared" si="13"/>
        <v>0</v>
      </c>
      <c r="S52" s="226">
        <f t="shared" si="14"/>
        <v>0</v>
      </c>
      <c r="T52" s="357">
        <f t="shared" si="15"/>
        <v>0</v>
      </c>
      <c r="U52" s="220"/>
      <c r="V52" s="220"/>
      <c r="W52" s="220"/>
      <c r="X52" s="220"/>
      <c r="Y52" s="220"/>
      <c r="Z52" s="220"/>
      <c r="AA52" s="220"/>
      <c r="AB52" s="220"/>
      <c r="AC52" s="220"/>
      <c r="AD52" s="220"/>
      <c r="AE52" s="220"/>
      <c r="AF52" s="1"/>
      <c r="AH52" s="68">
        <f t="shared" si="6"/>
        <v>0</v>
      </c>
      <c r="AI52" s="69">
        <f t="shared" si="7"/>
        <v>0</v>
      </c>
      <c r="AJ52" s="70">
        <f t="shared" si="8"/>
        <v>0</v>
      </c>
      <c r="AK52" s="69">
        <f t="shared" si="9"/>
        <v>0</v>
      </c>
    </row>
    <row r="53" spans="1:39">
      <c r="A53" s="419"/>
      <c r="B53" s="427"/>
      <c r="C53" s="431"/>
      <c r="D53" s="431"/>
      <c r="E53" s="422"/>
      <c r="F53" s="428"/>
      <c r="G53" s="430"/>
      <c r="H53" s="168">
        <f t="shared" si="16"/>
        <v>0</v>
      </c>
      <c r="I53" s="349">
        <f t="shared" si="10"/>
        <v>0</v>
      </c>
      <c r="J53" s="148">
        <f t="shared" si="17"/>
        <v>0</v>
      </c>
      <c r="K53" s="65">
        <f t="shared" si="2"/>
        <v>0</v>
      </c>
      <c r="L53" s="65">
        <f t="shared" si="3"/>
        <v>0</v>
      </c>
      <c r="M53" s="66">
        <f t="shared" si="4"/>
        <v>0</v>
      </c>
      <c r="N53" s="229">
        <f t="shared" si="5"/>
        <v>0</v>
      </c>
      <c r="O53" s="111"/>
      <c r="P53" s="225">
        <f t="shared" si="11"/>
        <v>0</v>
      </c>
      <c r="Q53" s="226">
        <f t="shared" si="12"/>
        <v>0</v>
      </c>
      <c r="R53" s="226">
        <f t="shared" si="13"/>
        <v>0</v>
      </c>
      <c r="S53" s="226">
        <f t="shared" si="14"/>
        <v>0</v>
      </c>
      <c r="T53" s="357">
        <f t="shared" si="15"/>
        <v>0</v>
      </c>
      <c r="U53" s="220"/>
      <c r="V53" s="220"/>
      <c r="W53" s="220"/>
      <c r="X53" s="220"/>
      <c r="Y53" s="220"/>
      <c r="Z53" s="220"/>
      <c r="AA53" s="220"/>
      <c r="AB53" s="220"/>
      <c r="AC53" s="220"/>
      <c r="AD53" s="220"/>
      <c r="AE53" s="220"/>
      <c r="AF53" s="1"/>
      <c r="AH53" s="68">
        <f t="shared" si="6"/>
        <v>0</v>
      </c>
      <c r="AI53" s="69">
        <f t="shared" si="7"/>
        <v>0</v>
      </c>
      <c r="AJ53" s="70">
        <f t="shared" si="8"/>
        <v>0</v>
      </c>
      <c r="AK53" s="69">
        <f t="shared" si="9"/>
        <v>0</v>
      </c>
    </row>
    <row r="54" spans="1:39">
      <c r="A54" s="419">
        <v>20</v>
      </c>
      <c r="B54" s="427"/>
      <c r="C54" s="431"/>
      <c r="D54" s="431"/>
      <c r="E54" s="422"/>
      <c r="F54" s="428">
        <v>0.1</v>
      </c>
      <c r="G54" s="430"/>
      <c r="H54" s="168">
        <f t="shared" si="16"/>
        <v>1497.5</v>
      </c>
      <c r="I54" s="349">
        <f t="shared" si="10"/>
        <v>0.1</v>
      </c>
      <c r="J54" s="148">
        <f t="shared" si="17"/>
        <v>0</v>
      </c>
      <c r="K54" s="65">
        <f t="shared" si="2"/>
        <v>0</v>
      </c>
      <c r="L54" s="65">
        <f t="shared" si="3"/>
        <v>0</v>
      </c>
      <c r="M54" s="66">
        <f t="shared" si="4"/>
        <v>0.1</v>
      </c>
      <c r="N54" s="229">
        <f t="shared" si="5"/>
        <v>0.1</v>
      </c>
      <c r="O54" s="111"/>
      <c r="P54" s="225">
        <f t="shared" si="11"/>
        <v>0</v>
      </c>
      <c r="Q54" s="226">
        <f t="shared" si="12"/>
        <v>0</v>
      </c>
      <c r="R54" s="226">
        <f t="shared" si="13"/>
        <v>0</v>
      </c>
      <c r="S54" s="226">
        <f t="shared" si="14"/>
        <v>169.16666666666697</v>
      </c>
      <c r="T54" s="357">
        <f t="shared" si="15"/>
        <v>169.16666666666697</v>
      </c>
      <c r="U54" s="220"/>
      <c r="V54" s="220"/>
      <c r="W54" s="220"/>
      <c r="X54" s="220"/>
      <c r="Y54" s="220"/>
      <c r="Z54" s="220"/>
      <c r="AA54" s="220"/>
      <c r="AB54" s="220"/>
      <c r="AC54" s="220"/>
      <c r="AD54" s="220"/>
      <c r="AE54" s="220"/>
      <c r="AF54" s="1"/>
      <c r="AH54" s="68">
        <f t="shared" si="6"/>
        <v>0.1</v>
      </c>
      <c r="AI54" s="69">
        <f t="shared" si="7"/>
        <v>0.1</v>
      </c>
      <c r="AJ54" s="70">
        <f t="shared" si="8"/>
        <v>0.1</v>
      </c>
      <c r="AK54" s="69">
        <f t="shared" si="9"/>
        <v>0</v>
      </c>
    </row>
    <row r="55" spans="1:39">
      <c r="A55" s="419"/>
      <c r="B55" s="427"/>
      <c r="C55" s="431"/>
      <c r="D55" s="431"/>
      <c r="E55" s="422"/>
      <c r="F55" s="428"/>
      <c r="G55" s="430"/>
      <c r="H55" s="168">
        <f t="shared" si="16"/>
        <v>0</v>
      </c>
      <c r="I55" s="349">
        <f t="shared" si="10"/>
        <v>0</v>
      </c>
      <c r="J55" s="148">
        <f t="shared" si="17"/>
        <v>0</v>
      </c>
      <c r="K55" s="65">
        <f t="shared" si="2"/>
        <v>0</v>
      </c>
      <c r="L55" s="65">
        <f t="shared" si="3"/>
        <v>0</v>
      </c>
      <c r="M55" s="66">
        <f t="shared" si="4"/>
        <v>0</v>
      </c>
      <c r="N55" s="229">
        <f t="shared" si="5"/>
        <v>0</v>
      </c>
      <c r="O55" s="111"/>
      <c r="P55" s="225">
        <f t="shared" si="11"/>
        <v>0</v>
      </c>
      <c r="Q55" s="226">
        <f t="shared" si="12"/>
        <v>0</v>
      </c>
      <c r="R55" s="226">
        <f t="shared" si="13"/>
        <v>0</v>
      </c>
      <c r="S55" s="226">
        <f t="shared" si="14"/>
        <v>0</v>
      </c>
      <c r="T55" s="357">
        <f t="shared" si="15"/>
        <v>0</v>
      </c>
      <c r="U55" s="220"/>
      <c r="V55" s="220"/>
      <c r="W55" s="220"/>
      <c r="X55" s="220"/>
      <c r="Y55" s="220"/>
      <c r="Z55" s="220"/>
      <c r="AA55" s="220"/>
      <c r="AB55" s="220"/>
      <c r="AC55" s="220"/>
      <c r="AD55" s="220"/>
      <c r="AE55" s="220"/>
      <c r="AF55" s="1"/>
      <c r="AH55" s="68">
        <f t="shared" si="6"/>
        <v>0</v>
      </c>
      <c r="AI55" s="69">
        <f t="shared" si="7"/>
        <v>0</v>
      </c>
      <c r="AJ55" s="70">
        <f t="shared" si="8"/>
        <v>0</v>
      </c>
      <c r="AK55" s="69">
        <f t="shared" si="9"/>
        <v>0</v>
      </c>
    </row>
    <row r="56" spans="1:39">
      <c r="A56" s="419"/>
      <c r="B56" s="427"/>
      <c r="C56" s="431"/>
      <c r="D56" s="431"/>
      <c r="E56" s="422"/>
      <c r="F56" s="428"/>
      <c r="G56" s="430"/>
      <c r="H56" s="168">
        <f t="shared" si="16"/>
        <v>0</v>
      </c>
      <c r="I56" s="349">
        <f t="shared" si="10"/>
        <v>0</v>
      </c>
      <c r="J56" s="148">
        <f t="shared" si="17"/>
        <v>0</v>
      </c>
      <c r="K56" s="65">
        <f t="shared" si="2"/>
        <v>0</v>
      </c>
      <c r="L56" s="65">
        <f t="shared" si="3"/>
        <v>0</v>
      </c>
      <c r="M56" s="66">
        <f t="shared" si="4"/>
        <v>0</v>
      </c>
      <c r="N56" s="229">
        <f t="shared" si="5"/>
        <v>0</v>
      </c>
      <c r="O56" s="111"/>
      <c r="P56" s="225">
        <f t="shared" si="11"/>
        <v>0</v>
      </c>
      <c r="Q56" s="226">
        <f t="shared" si="12"/>
        <v>0</v>
      </c>
      <c r="R56" s="226">
        <f t="shared" si="13"/>
        <v>0</v>
      </c>
      <c r="S56" s="226">
        <f t="shared" si="14"/>
        <v>0</v>
      </c>
      <c r="T56" s="357">
        <f t="shared" si="15"/>
        <v>0</v>
      </c>
      <c r="U56" s="220"/>
      <c r="V56" s="220"/>
      <c r="W56" s="220"/>
      <c r="X56" s="220"/>
      <c r="Y56" s="220"/>
      <c r="Z56" s="220"/>
      <c r="AA56" s="220"/>
      <c r="AB56" s="220"/>
      <c r="AC56" s="220"/>
      <c r="AD56" s="220"/>
      <c r="AE56" s="220"/>
      <c r="AF56" s="1"/>
      <c r="AH56" s="68">
        <f t="shared" si="6"/>
        <v>0</v>
      </c>
      <c r="AI56" s="69">
        <f t="shared" si="7"/>
        <v>0</v>
      </c>
      <c r="AJ56" s="70">
        <f t="shared" si="8"/>
        <v>0</v>
      </c>
      <c r="AK56" s="69">
        <f t="shared" si="9"/>
        <v>0</v>
      </c>
    </row>
    <row r="57" spans="1:39">
      <c r="A57" s="419"/>
      <c r="B57" s="427"/>
      <c r="C57" s="431"/>
      <c r="D57" s="431"/>
      <c r="E57" s="422"/>
      <c r="F57" s="428"/>
      <c r="G57" s="430"/>
      <c r="H57" s="168">
        <f t="shared" si="16"/>
        <v>0</v>
      </c>
      <c r="I57" s="349">
        <f t="shared" si="10"/>
        <v>0</v>
      </c>
      <c r="J57" s="148">
        <f t="shared" si="17"/>
        <v>0</v>
      </c>
      <c r="K57" s="65">
        <f t="shared" si="2"/>
        <v>0</v>
      </c>
      <c r="L57" s="65">
        <f t="shared" si="3"/>
        <v>0</v>
      </c>
      <c r="M57" s="66">
        <f t="shared" si="4"/>
        <v>0</v>
      </c>
      <c r="N57" s="229">
        <f t="shared" si="5"/>
        <v>0</v>
      </c>
      <c r="O57" s="111"/>
      <c r="P57" s="225">
        <f t="shared" si="11"/>
        <v>0</v>
      </c>
      <c r="Q57" s="226">
        <f t="shared" si="12"/>
        <v>0</v>
      </c>
      <c r="R57" s="226">
        <f t="shared" si="13"/>
        <v>0</v>
      </c>
      <c r="S57" s="226">
        <f t="shared" si="14"/>
        <v>0</v>
      </c>
      <c r="T57" s="357">
        <f t="shared" si="15"/>
        <v>0</v>
      </c>
      <c r="U57" s="220"/>
      <c r="V57" s="220"/>
      <c r="W57" s="220"/>
      <c r="X57" s="220"/>
      <c r="Y57" s="220"/>
      <c r="Z57" s="220"/>
      <c r="AA57" s="220"/>
      <c r="AB57" s="220"/>
      <c r="AC57" s="220"/>
      <c r="AD57" s="220"/>
      <c r="AE57" s="220"/>
      <c r="AF57" s="1"/>
      <c r="AH57" s="68">
        <f t="shared" si="6"/>
        <v>0</v>
      </c>
      <c r="AI57" s="69">
        <f t="shared" si="7"/>
        <v>0</v>
      </c>
      <c r="AJ57" s="70">
        <f t="shared" si="8"/>
        <v>0</v>
      </c>
      <c r="AK57" s="69">
        <f t="shared" si="9"/>
        <v>0</v>
      </c>
    </row>
    <row r="58" spans="1:39">
      <c r="A58" s="419"/>
      <c r="B58" s="427"/>
      <c r="C58" s="431"/>
      <c r="D58" s="431"/>
      <c r="E58" s="422"/>
      <c r="F58" s="428"/>
      <c r="G58" s="430"/>
      <c r="H58" s="168">
        <f t="shared" si="16"/>
        <v>0</v>
      </c>
      <c r="I58" s="349">
        <f t="shared" si="10"/>
        <v>0</v>
      </c>
      <c r="J58" s="148">
        <f t="shared" si="17"/>
        <v>0</v>
      </c>
      <c r="K58" s="65">
        <f t="shared" si="2"/>
        <v>0</v>
      </c>
      <c r="L58" s="65">
        <f t="shared" si="3"/>
        <v>0</v>
      </c>
      <c r="M58" s="66">
        <f t="shared" si="4"/>
        <v>0</v>
      </c>
      <c r="N58" s="229">
        <f t="shared" si="5"/>
        <v>0</v>
      </c>
      <c r="O58" s="111"/>
      <c r="P58" s="225">
        <f t="shared" si="11"/>
        <v>0</v>
      </c>
      <c r="Q58" s="226">
        <f t="shared" si="12"/>
        <v>0</v>
      </c>
      <c r="R58" s="226">
        <f t="shared" si="13"/>
        <v>0</v>
      </c>
      <c r="S58" s="226">
        <f t="shared" si="14"/>
        <v>0</v>
      </c>
      <c r="T58" s="357">
        <f t="shared" si="15"/>
        <v>0</v>
      </c>
      <c r="U58" s="220"/>
      <c r="V58" s="220"/>
      <c r="W58" s="220"/>
      <c r="X58" s="220"/>
      <c r="Y58" s="220"/>
      <c r="Z58" s="220"/>
      <c r="AA58" s="220"/>
      <c r="AB58" s="220"/>
      <c r="AC58" s="220"/>
      <c r="AD58" s="220"/>
      <c r="AE58" s="220"/>
      <c r="AF58" s="1"/>
      <c r="AH58" s="68">
        <f t="shared" si="6"/>
        <v>0</v>
      </c>
      <c r="AI58" s="69">
        <f t="shared" si="7"/>
        <v>0</v>
      </c>
      <c r="AJ58" s="70">
        <f t="shared" si="8"/>
        <v>0</v>
      </c>
      <c r="AK58" s="69">
        <f t="shared" si="9"/>
        <v>0</v>
      </c>
    </row>
    <row r="59" spans="1:39">
      <c r="A59" s="419"/>
      <c r="B59" s="427"/>
      <c r="C59" s="431"/>
      <c r="D59" s="431"/>
      <c r="E59" s="422"/>
      <c r="F59" s="428"/>
      <c r="G59" s="430"/>
      <c r="H59" s="168">
        <f t="shared" si="16"/>
        <v>0</v>
      </c>
      <c r="I59" s="349">
        <f t="shared" si="10"/>
        <v>0</v>
      </c>
      <c r="J59" s="148">
        <f t="shared" si="17"/>
        <v>0</v>
      </c>
      <c r="K59" s="65">
        <f t="shared" si="2"/>
        <v>0</v>
      </c>
      <c r="L59" s="65">
        <f t="shared" si="3"/>
        <v>0</v>
      </c>
      <c r="M59" s="66">
        <f t="shared" si="4"/>
        <v>0</v>
      </c>
      <c r="N59" s="229">
        <f t="shared" si="5"/>
        <v>0</v>
      </c>
      <c r="O59" s="111"/>
      <c r="P59" s="225">
        <f t="shared" si="11"/>
        <v>0</v>
      </c>
      <c r="Q59" s="226">
        <f t="shared" si="12"/>
        <v>0</v>
      </c>
      <c r="R59" s="226">
        <f t="shared" si="13"/>
        <v>0</v>
      </c>
      <c r="S59" s="226">
        <f t="shared" si="14"/>
        <v>0</v>
      </c>
      <c r="T59" s="357">
        <f t="shared" si="15"/>
        <v>0</v>
      </c>
      <c r="U59" s="220"/>
      <c r="V59" s="220"/>
      <c r="W59" s="220"/>
      <c r="X59" s="220"/>
      <c r="Y59" s="220"/>
      <c r="Z59" s="220"/>
      <c r="AA59" s="220"/>
      <c r="AB59" s="220"/>
      <c r="AC59" s="220"/>
      <c r="AD59" s="220"/>
      <c r="AE59" s="220"/>
      <c r="AF59" s="1"/>
      <c r="AH59" s="68">
        <f t="shared" si="6"/>
        <v>0</v>
      </c>
      <c r="AI59" s="69">
        <f t="shared" si="7"/>
        <v>0</v>
      </c>
      <c r="AJ59" s="70">
        <f t="shared" si="8"/>
        <v>0</v>
      </c>
      <c r="AK59" s="69">
        <f t="shared" si="9"/>
        <v>0</v>
      </c>
      <c r="AM59" s="158"/>
    </row>
    <row r="60" spans="1:39">
      <c r="A60" s="419"/>
      <c r="B60" s="427"/>
      <c r="C60" s="431"/>
      <c r="D60" s="431"/>
      <c r="E60" s="422"/>
      <c r="F60" s="428"/>
      <c r="G60" s="430"/>
      <c r="H60" s="168">
        <f t="shared" si="16"/>
        <v>0</v>
      </c>
      <c r="I60" s="349">
        <f t="shared" si="10"/>
        <v>0</v>
      </c>
      <c r="J60" s="148">
        <f t="shared" si="17"/>
        <v>0</v>
      </c>
      <c r="K60" s="65">
        <f t="shared" si="2"/>
        <v>0</v>
      </c>
      <c r="L60" s="65">
        <f t="shared" si="3"/>
        <v>0</v>
      </c>
      <c r="M60" s="66">
        <f t="shared" si="4"/>
        <v>0</v>
      </c>
      <c r="N60" s="229">
        <f t="shared" si="5"/>
        <v>0</v>
      </c>
      <c r="O60" s="111"/>
      <c r="P60" s="225">
        <f t="shared" si="11"/>
        <v>0</v>
      </c>
      <c r="Q60" s="226">
        <f t="shared" si="12"/>
        <v>0</v>
      </c>
      <c r="R60" s="226">
        <f t="shared" si="13"/>
        <v>0</v>
      </c>
      <c r="S60" s="226">
        <f t="shared" si="14"/>
        <v>0</v>
      </c>
      <c r="T60" s="357">
        <f t="shared" si="15"/>
        <v>0</v>
      </c>
      <c r="U60" s="220"/>
      <c r="V60" s="220"/>
      <c r="W60" s="220"/>
      <c r="X60" s="220"/>
      <c r="Y60" s="220"/>
      <c r="Z60" s="220"/>
      <c r="AA60" s="220"/>
      <c r="AB60" s="220"/>
      <c r="AC60" s="220"/>
      <c r="AD60" s="220"/>
      <c r="AE60" s="220"/>
      <c r="AF60" s="1"/>
      <c r="AH60" s="68">
        <f t="shared" si="6"/>
        <v>0</v>
      </c>
      <c r="AI60" s="69">
        <f t="shared" si="7"/>
        <v>0</v>
      </c>
      <c r="AJ60" s="70">
        <f t="shared" si="8"/>
        <v>0</v>
      </c>
      <c r="AK60" s="69">
        <f t="shared" si="9"/>
        <v>0</v>
      </c>
      <c r="AM60" s="158"/>
    </row>
    <row r="61" spans="1:39" ht="13" thickBot="1">
      <c r="A61" s="419">
        <v>20</v>
      </c>
      <c r="B61" s="427"/>
      <c r="C61" s="431"/>
      <c r="D61" s="431"/>
      <c r="E61" s="422"/>
      <c r="F61" s="428">
        <v>0.1</v>
      </c>
      <c r="G61" s="430"/>
      <c r="H61" s="168">
        <f>IF(ISERROR(IF(A61="",I61*(Annual_Salary/12),I61*(VLOOKUP(A61,SalaryLimits,2,FALSE))/12)),0,IF(A61="",I61*(Annual_Salary/12),I61*(VLOOKUP(A61,SalaryLimits,2,FALSE))/12))</f>
        <v>1497.5</v>
      </c>
      <c r="I61" s="349">
        <f>IF(ISERROR(ROUND(IF(AND(F61="",A61=""),G61/(Annual_Salary/12),IF(AND(F61="",A61&lt;&gt;""),G61/(VLOOKUP(A61,SalaryLimits,2,FALSE)/12),F61)),4)),0,ROUND(IF(AND(F61="",A61=""),G61/(Annual_Salary/12),IF(AND(F61="",A61&lt;&gt;""),G61/(VLOOKUP(A61,SalaryLimits,2,FALSE)/12),F61)),4))</f>
        <v>0.1</v>
      </c>
      <c r="J61" s="148">
        <f t="shared" si="17"/>
        <v>0</v>
      </c>
      <c r="K61" s="65">
        <f t="shared" si="2"/>
        <v>0</v>
      </c>
      <c r="L61" s="65">
        <f t="shared" si="3"/>
        <v>0</v>
      </c>
      <c r="M61" s="66">
        <f t="shared" si="4"/>
        <v>9.9999999999999978E-2</v>
      </c>
      <c r="N61" s="229">
        <f t="shared" si="5"/>
        <v>9.9999999999999978E-2</v>
      </c>
      <c r="O61" s="111"/>
      <c r="P61" s="225">
        <f>IF(OR(OverCAP="No",A61=""),0,(J61*(Annual_Salary/12))-(J61*(VLOOKUP(A61,SalaryLimits,2,FALSE)/12)))</f>
        <v>0</v>
      </c>
      <c r="Q61" s="226">
        <f>IF(OR(OverCAP="No",A61=""),0,(K61*(Annual_Salary/12))-(K61*(VLOOKUP(A61,SalaryLimits,2,FALSE)/12)))</f>
        <v>0</v>
      </c>
      <c r="R61" s="226">
        <f>IF(OR(OverCAP="No",A61=""),0,(L61*(Annual_Salary/12))-(L61*(VLOOKUP(A61,SalaryLimits,2,FALSE)/12)))</f>
        <v>0</v>
      </c>
      <c r="S61" s="226">
        <f>IF(OR(OverCAP="No",A61=""),0,(M61*(Annual_Salary/12))-(M61*(VLOOKUP(A61,SalaryLimits,2,FALSE)/12)))</f>
        <v>169.16666666666674</v>
      </c>
      <c r="T61" s="357">
        <f t="shared" si="15"/>
        <v>169.16666666666674</v>
      </c>
      <c r="U61" s="220"/>
      <c r="V61" s="220"/>
      <c r="W61" s="220"/>
      <c r="X61" s="220"/>
      <c r="Y61" s="220"/>
      <c r="Z61" s="220"/>
      <c r="AA61" s="220"/>
      <c r="AB61" s="220"/>
      <c r="AC61" s="220"/>
      <c r="AD61" s="220"/>
      <c r="AE61" s="220"/>
      <c r="AF61" s="1"/>
      <c r="AH61" s="68">
        <f t="shared" si="6"/>
        <v>0.1</v>
      </c>
      <c r="AI61" s="69">
        <f t="shared" si="7"/>
        <v>0.1</v>
      </c>
      <c r="AJ61" s="70">
        <f t="shared" si="8"/>
        <v>0.1</v>
      </c>
      <c r="AK61" s="69">
        <f t="shared" si="9"/>
        <v>0</v>
      </c>
    </row>
    <row r="62" spans="1:39" ht="13" thickBot="1">
      <c r="A62" s="32"/>
      <c r="B62" s="167" t="s">
        <v>12</v>
      </c>
      <c r="C62" s="150"/>
      <c r="D62" s="150"/>
      <c r="E62" s="151"/>
      <c r="F62" s="347"/>
      <c r="G62" s="157"/>
      <c r="H62" s="348">
        <f t="shared" ref="H62:N62" si="18">SUM(H42:H61)</f>
        <v>15313.333333333336</v>
      </c>
      <c r="I62" s="350">
        <f t="shared" si="18"/>
        <v>0.99999999999999989</v>
      </c>
      <c r="J62" s="351">
        <f t="shared" si="18"/>
        <v>0.50049999999999994</v>
      </c>
      <c r="K62" s="352">
        <f t="shared" si="18"/>
        <v>0.15</v>
      </c>
      <c r="L62" s="352">
        <f t="shared" si="18"/>
        <v>0</v>
      </c>
      <c r="M62" s="350">
        <f t="shared" si="18"/>
        <v>0.34950000000000003</v>
      </c>
      <c r="N62" s="353">
        <f t="shared" si="18"/>
        <v>0.99999999999999989</v>
      </c>
      <c r="O62" s="134"/>
      <c r="P62" s="139">
        <f>ROUND(SUM(P42:P61),2)</f>
        <v>845.83</v>
      </c>
      <c r="Q62" s="140">
        <f>ROUND(SUM(Q42:Q61),2)</f>
        <v>0</v>
      </c>
      <c r="R62" s="140">
        <f>ROUND(SUM(R42:R61),2)</f>
        <v>0</v>
      </c>
      <c r="S62" s="284">
        <f>ROUND(SUM(S42:S61),2)</f>
        <v>507.5</v>
      </c>
      <c r="T62" s="285">
        <f>SUM(T42:T61)</f>
        <v>1353.3333333333355</v>
      </c>
      <c r="U62" s="221"/>
      <c r="V62" s="221"/>
      <c r="W62" s="221"/>
      <c r="X62" s="221"/>
      <c r="Y62" s="221"/>
      <c r="Z62" s="221"/>
      <c r="AA62" s="221"/>
      <c r="AB62" s="221"/>
      <c r="AC62" s="221"/>
      <c r="AD62" s="221"/>
      <c r="AE62" s="221"/>
      <c r="AH62" s="69">
        <f>SUM(AH42:AH61)</f>
        <v>0.49950000000000006</v>
      </c>
      <c r="AI62" s="69">
        <f>SUM(AI42:AI61)</f>
        <v>0.34950000000000003</v>
      </c>
      <c r="AJ62" s="69">
        <f>SUM(AJ42:AJ61)</f>
        <v>0.34950000000000003</v>
      </c>
      <c r="AK62" s="69">
        <f>SUM(AK42:AK61)</f>
        <v>0</v>
      </c>
      <c r="AM62" s="158"/>
    </row>
    <row r="63" spans="1:39">
      <c r="A63" s="265" t="s">
        <v>81</v>
      </c>
      <c r="B63" s="335"/>
      <c r="C63" s="335"/>
      <c r="D63" s="335"/>
      <c r="E63" s="335"/>
      <c r="F63" s="335"/>
      <c r="G63" s="335"/>
      <c r="H63" s="335"/>
      <c r="I63" s="335"/>
      <c r="J63" s="335"/>
      <c r="K63" s="335"/>
      <c r="L63" s="335"/>
      <c r="M63" s="335"/>
      <c r="N63" s="335"/>
      <c r="O63" s="335"/>
      <c r="P63" s="221"/>
      <c r="Q63" s="221"/>
      <c r="R63" s="221"/>
      <c r="S63" s="221"/>
      <c r="T63" s="221"/>
      <c r="U63" s="221"/>
      <c r="V63" s="221"/>
      <c r="W63" s="221"/>
      <c r="X63" s="221"/>
      <c r="Y63" s="221"/>
      <c r="Z63" s="221"/>
      <c r="AA63" s="221"/>
      <c r="AB63" s="221"/>
      <c r="AC63" s="221"/>
      <c r="AD63" s="221"/>
      <c r="AE63" s="221"/>
      <c r="AH63" s="223"/>
      <c r="AI63" s="223"/>
      <c r="AJ63" s="223"/>
      <c r="AK63" s="223"/>
      <c r="AM63" s="158"/>
    </row>
    <row r="64" spans="1:39">
      <c r="A64" s="53" t="s">
        <v>73</v>
      </c>
      <c r="B64" s="336"/>
      <c r="C64" s="337"/>
      <c r="D64" s="337"/>
      <c r="E64" s="338"/>
      <c r="F64" s="338"/>
      <c r="G64" s="338"/>
      <c r="H64" s="339"/>
      <c r="I64" s="340"/>
      <c r="J64" s="340"/>
      <c r="K64" s="340"/>
      <c r="L64" s="340"/>
      <c r="M64" s="340"/>
      <c r="N64" s="340"/>
      <c r="O64" s="134"/>
      <c r="P64" s="241"/>
      <c r="Q64" s="221"/>
      <c r="R64" s="333"/>
      <c r="S64" s="333"/>
      <c r="T64" s="221"/>
      <c r="U64" s="221"/>
      <c r="V64" s="221"/>
      <c r="W64" s="221"/>
      <c r="X64" s="221"/>
      <c r="Y64" s="221"/>
      <c r="Z64" s="221"/>
      <c r="AA64" s="221"/>
      <c r="AB64" s="221"/>
      <c r="AC64" s="221"/>
      <c r="AD64" s="221"/>
      <c r="AE64" s="221"/>
      <c r="AH64" s="223"/>
      <c r="AI64" s="223"/>
      <c r="AJ64" s="223"/>
      <c r="AK64" s="223"/>
      <c r="AM64" s="158"/>
    </row>
    <row r="65" spans="1:43">
      <c r="A65" s="606"/>
      <c r="B65" s="607"/>
      <c r="C65" s="607"/>
      <c r="D65" s="607"/>
      <c r="E65" s="607"/>
      <c r="F65" s="607"/>
      <c r="G65" s="607"/>
      <c r="H65" s="607"/>
      <c r="I65" s="607"/>
      <c r="J65" s="607"/>
      <c r="K65" s="607"/>
      <c r="L65" s="607"/>
      <c r="M65" s="607"/>
      <c r="N65" s="608"/>
      <c r="O65" s="134"/>
      <c r="P65" s="241" t="s">
        <v>105</v>
      </c>
      <c r="Q65" s="288"/>
      <c r="R65" s="584"/>
      <c r="S65" s="585"/>
      <c r="T65" s="586"/>
      <c r="U65" s="221"/>
      <c r="V65" s="221"/>
      <c r="W65" s="221"/>
      <c r="X65" s="221"/>
      <c r="Y65" s="221"/>
      <c r="Z65" s="221"/>
      <c r="AA65" s="221"/>
      <c r="AB65" s="221"/>
      <c r="AC65" s="221"/>
      <c r="AD65" s="221"/>
      <c r="AE65" s="221"/>
      <c r="AH65" s="223"/>
      <c r="AI65" s="223"/>
      <c r="AJ65" s="223"/>
      <c r="AK65" s="223"/>
      <c r="AM65" s="158"/>
    </row>
    <row r="66" spans="1:43">
      <c r="A66" s="609"/>
      <c r="B66" s="610"/>
      <c r="C66" s="610"/>
      <c r="D66" s="610"/>
      <c r="E66" s="610"/>
      <c r="F66" s="610"/>
      <c r="G66" s="610"/>
      <c r="H66" s="610"/>
      <c r="I66" s="610"/>
      <c r="J66" s="610"/>
      <c r="K66" s="610"/>
      <c r="L66" s="610"/>
      <c r="M66" s="610"/>
      <c r="N66" s="611"/>
      <c r="O66" s="134"/>
      <c r="P66" s="332"/>
      <c r="Q66" s="288"/>
      <c r="R66" s="587"/>
      <c r="S66" s="588"/>
      <c r="T66" s="589"/>
      <c r="U66" s="221"/>
      <c r="V66" s="221"/>
      <c r="W66" s="221"/>
      <c r="X66" s="221"/>
      <c r="Y66" s="221"/>
      <c r="Z66" s="221"/>
      <c r="AA66" s="221"/>
      <c r="AB66" s="221"/>
      <c r="AC66" s="221"/>
      <c r="AD66" s="221"/>
      <c r="AE66" s="221"/>
      <c r="AH66" s="223"/>
      <c r="AI66" s="223"/>
      <c r="AJ66" s="223"/>
      <c r="AK66" s="223"/>
      <c r="AM66" s="158"/>
    </row>
    <row r="67" spans="1:43">
      <c r="A67" s="612"/>
      <c r="B67" s="613"/>
      <c r="C67" s="613"/>
      <c r="D67" s="613"/>
      <c r="E67" s="613"/>
      <c r="F67" s="613"/>
      <c r="G67" s="613"/>
      <c r="H67" s="613"/>
      <c r="I67" s="613"/>
      <c r="J67" s="613"/>
      <c r="K67" s="613"/>
      <c r="L67" s="613"/>
      <c r="M67" s="613"/>
      <c r="N67" s="614"/>
      <c r="O67" s="134"/>
      <c r="P67" s="332" t="s">
        <v>104</v>
      </c>
      <c r="Q67" s="288"/>
      <c r="R67" s="590"/>
      <c r="S67" s="591"/>
      <c r="T67" s="592"/>
      <c r="U67" s="221"/>
      <c r="V67" s="221"/>
      <c r="W67" s="221"/>
      <c r="X67" s="221"/>
      <c r="Y67" s="221"/>
      <c r="Z67" s="221"/>
      <c r="AA67" s="221"/>
      <c r="AB67" s="221"/>
      <c r="AC67" s="221"/>
      <c r="AD67" s="221"/>
      <c r="AE67" s="221"/>
      <c r="AH67" s="223"/>
      <c r="AI67" s="223"/>
      <c r="AJ67" s="223"/>
      <c r="AK67" s="223"/>
      <c r="AM67" s="158"/>
    </row>
    <row r="68" spans="1:43">
      <c r="A68" s="31"/>
      <c r="C68" s="53"/>
      <c r="D68" s="53"/>
      <c r="E68" s="53"/>
      <c r="F68" s="53"/>
      <c r="G68" s="53"/>
      <c r="H68" s="222"/>
      <c r="I68" s="134"/>
      <c r="J68" s="134"/>
      <c r="K68" s="134"/>
      <c r="L68" s="134"/>
      <c r="M68" s="134"/>
      <c r="N68" s="134"/>
      <c r="O68" s="134"/>
      <c r="P68" s="221"/>
      <c r="Q68" s="221"/>
      <c r="R68" s="417" t="s">
        <v>196</v>
      </c>
      <c r="S68" s="221"/>
      <c r="T68" s="221"/>
      <c r="U68" s="221"/>
      <c r="V68" s="221"/>
      <c r="W68" s="221"/>
      <c r="X68" s="221"/>
      <c r="Y68" s="221"/>
      <c r="Z68" s="221"/>
      <c r="AA68" s="221"/>
      <c r="AB68" s="221"/>
      <c r="AC68" s="221"/>
      <c r="AD68" s="221"/>
      <c r="AE68" s="221"/>
      <c r="AH68" s="223"/>
      <c r="AI68" s="223"/>
      <c r="AJ68" s="223"/>
      <c r="AK68" s="223"/>
    </row>
    <row r="69" spans="1:43">
      <c r="A69" s="31"/>
      <c r="B69" s="53"/>
      <c r="C69" s="53"/>
      <c r="D69" s="53"/>
      <c r="E69" s="53"/>
      <c r="F69" s="53"/>
      <c r="G69" s="53"/>
      <c r="H69" s="222"/>
      <c r="I69" s="134"/>
      <c r="J69" s="134"/>
      <c r="K69" s="134"/>
      <c r="L69" s="134"/>
      <c r="M69" s="134"/>
      <c r="N69" s="134"/>
      <c r="O69" s="134"/>
      <c r="P69" s="221"/>
      <c r="Q69" s="221"/>
      <c r="R69" s="221"/>
      <c r="S69" s="221"/>
      <c r="T69" s="221"/>
      <c r="U69" s="221"/>
      <c r="V69" s="221"/>
      <c r="W69" s="221"/>
      <c r="X69" s="221"/>
      <c r="Y69" s="221"/>
      <c r="Z69" s="221"/>
      <c r="AA69" s="221"/>
      <c r="AB69" s="221"/>
      <c r="AC69" s="221"/>
      <c r="AD69" s="221"/>
      <c r="AE69" s="221"/>
      <c r="AH69" s="223"/>
      <c r="AI69" s="223"/>
      <c r="AJ69" s="223"/>
      <c r="AK69" s="223"/>
    </row>
    <row r="70" spans="1:43">
      <c r="A70" s="31"/>
      <c r="B70" s="53"/>
      <c r="C70" s="53"/>
      <c r="D70" s="53"/>
      <c r="E70" s="53"/>
      <c r="F70" s="53"/>
      <c r="G70" s="53"/>
      <c r="H70" s="222"/>
      <c r="I70" s="134"/>
      <c r="J70" s="134"/>
      <c r="K70" s="134"/>
      <c r="L70" s="134"/>
      <c r="M70" s="134"/>
      <c r="N70" s="134"/>
      <c r="O70" s="134"/>
      <c r="P70" s="221"/>
      <c r="Q70" s="221"/>
      <c r="R70" s="221"/>
      <c r="S70" s="221"/>
      <c r="T70" s="221"/>
      <c r="U70" s="221"/>
      <c r="V70" s="221"/>
      <c r="W70" s="221"/>
      <c r="X70" s="221"/>
      <c r="Y70" s="221"/>
      <c r="Z70" s="221"/>
      <c r="AA70" s="221"/>
      <c r="AB70" s="221"/>
      <c r="AC70" s="221"/>
      <c r="AD70" s="221"/>
      <c r="AE70" s="221"/>
      <c r="AH70" s="223"/>
      <c r="AI70" s="223"/>
      <c r="AJ70" s="223"/>
      <c r="AK70" s="223"/>
    </row>
    <row r="71" spans="1:43">
      <c r="A71" s="31"/>
      <c r="B71" s="53"/>
      <c r="C71" s="53"/>
      <c r="D71" s="53"/>
      <c r="E71" s="53"/>
      <c r="F71" s="53"/>
      <c r="G71" s="53"/>
      <c r="H71" s="222"/>
      <c r="I71" s="134"/>
      <c r="J71" s="134"/>
      <c r="K71" s="134"/>
      <c r="L71" s="134"/>
      <c r="M71" s="134"/>
      <c r="N71" s="134"/>
      <c r="O71" s="134"/>
      <c r="P71" s="221"/>
      <c r="Q71" s="221"/>
      <c r="R71" s="221"/>
      <c r="S71" s="221"/>
      <c r="T71" s="221"/>
      <c r="U71" s="221"/>
      <c r="V71" s="221"/>
      <c r="W71" s="221"/>
      <c r="X71" s="221"/>
      <c r="Y71" s="221"/>
      <c r="Z71" s="221"/>
      <c r="AA71" s="221"/>
      <c r="AB71" s="221"/>
      <c r="AC71" s="221"/>
      <c r="AD71" s="221"/>
      <c r="AE71" s="221"/>
      <c r="AH71" s="223"/>
      <c r="AI71" s="223"/>
      <c r="AJ71" s="223"/>
      <c r="AK71" s="223"/>
    </row>
    <row r="72" spans="1:43">
      <c r="A72" s="31"/>
      <c r="B72" s="53"/>
      <c r="C72" s="53"/>
      <c r="D72" s="53"/>
      <c r="E72" s="53"/>
      <c r="F72" s="53"/>
      <c r="G72" s="53"/>
      <c r="H72" s="222"/>
      <c r="I72" s="134"/>
      <c r="J72" s="134"/>
      <c r="K72" s="134"/>
      <c r="L72" s="134"/>
      <c r="M72" s="134"/>
      <c r="N72" s="134"/>
      <c r="O72" s="134"/>
      <c r="P72" s="221"/>
      <c r="Q72" s="221"/>
      <c r="R72" s="221"/>
      <c r="S72" s="221"/>
      <c r="T72" s="221"/>
      <c r="U72" s="221"/>
      <c r="V72" s="221"/>
      <c r="W72" s="221"/>
      <c r="X72" s="221"/>
      <c r="Y72" s="221"/>
      <c r="Z72" s="221"/>
      <c r="AA72" s="221"/>
      <c r="AB72" s="221"/>
      <c r="AC72" s="221"/>
      <c r="AD72" s="221"/>
      <c r="AE72" s="221"/>
      <c r="AH72" s="223"/>
      <c r="AI72" s="223"/>
      <c r="AJ72" s="223"/>
      <c r="AK72" s="223"/>
    </row>
    <row r="73" spans="1:43">
      <c r="A73" s="31"/>
      <c r="B73" s="53"/>
      <c r="C73" s="53"/>
      <c r="D73" s="53"/>
      <c r="E73" s="53"/>
      <c r="F73" s="53"/>
      <c r="G73" s="53"/>
      <c r="H73" s="222"/>
      <c r="I73" s="134"/>
      <c r="J73" s="134"/>
      <c r="K73" s="134"/>
      <c r="L73" s="134"/>
      <c r="M73" s="134"/>
      <c r="N73" s="134"/>
      <c r="O73" s="134"/>
      <c r="P73" s="221"/>
      <c r="Q73" s="221"/>
      <c r="R73" s="221"/>
      <c r="S73" s="221"/>
      <c r="T73" s="221"/>
      <c r="U73" s="221"/>
      <c r="V73" s="221"/>
      <c r="W73" s="221"/>
      <c r="X73" s="221"/>
      <c r="Y73" s="221"/>
      <c r="Z73" s="221"/>
      <c r="AA73" s="221"/>
      <c r="AB73" s="221"/>
      <c r="AC73" s="221"/>
      <c r="AD73" s="221"/>
      <c r="AE73" s="221"/>
      <c r="AH73" s="223"/>
      <c r="AI73" s="223"/>
      <c r="AJ73" s="223"/>
      <c r="AK73" s="223"/>
    </row>
    <row r="74" spans="1:43">
      <c r="A74" s="31"/>
      <c r="B74" s="53"/>
      <c r="C74" s="53"/>
      <c r="D74" s="53"/>
      <c r="E74" s="53"/>
      <c r="F74" s="53"/>
      <c r="G74" s="53"/>
      <c r="H74" s="222"/>
      <c r="I74" s="134"/>
      <c r="J74" s="134"/>
      <c r="K74" s="134"/>
      <c r="L74" s="134"/>
      <c r="M74" s="134"/>
      <c r="N74" s="134"/>
      <c r="O74" s="134"/>
      <c r="P74" s="221"/>
      <c r="Q74" s="221"/>
      <c r="R74" s="221"/>
      <c r="S74" s="221"/>
      <c r="T74" s="221"/>
      <c r="U74" s="221"/>
      <c r="V74" s="221"/>
      <c r="W74" s="221"/>
      <c r="X74" s="221"/>
      <c r="Y74" s="221"/>
      <c r="Z74" s="221"/>
      <c r="AA74" s="221"/>
      <c r="AB74" s="221"/>
      <c r="AC74" s="221"/>
      <c r="AD74" s="221"/>
      <c r="AE74" s="221"/>
      <c r="AH74" s="223"/>
      <c r="AI74" s="223"/>
      <c r="AJ74" s="223"/>
      <c r="AK74" s="223"/>
    </row>
    <row r="75" spans="1:43">
      <c r="A75" s="31"/>
      <c r="B75" s="53"/>
      <c r="C75" s="53"/>
      <c r="D75" s="53"/>
      <c r="E75" s="53"/>
      <c r="F75" s="53"/>
      <c r="G75" s="53"/>
      <c r="H75" s="222"/>
      <c r="I75" s="134"/>
      <c r="J75" s="134"/>
      <c r="K75" s="134"/>
      <c r="L75" s="134"/>
      <c r="M75" s="134"/>
      <c r="N75" s="134"/>
      <c r="O75" s="134"/>
      <c r="P75" s="221"/>
      <c r="Q75" s="221"/>
      <c r="R75" s="221"/>
      <c r="S75" s="221"/>
      <c r="T75" s="221"/>
      <c r="U75" s="221"/>
      <c r="V75" s="221"/>
      <c r="W75" s="221"/>
      <c r="X75" s="221"/>
      <c r="Y75" s="221"/>
      <c r="Z75" s="221"/>
      <c r="AA75" s="221"/>
      <c r="AB75" s="221"/>
      <c r="AC75" s="221"/>
      <c r="AD75" s="221"/>
      <c r="AE75" s="221"/>
      <c r="AH75" s="223"/>
      <c r="AI75" s="223"/>
      <c r="AJ75" s="223"/>
      <c r="AK75" s="223"/>
    </row>
    <row r="76" spans="1:43" hidden="1">
      <c r="A76" s="31"/>
      <c r="B76" s="53"/>
      <c r="C76" s="53"/>
      <c r="D76" s="53"/>
      <c r="E76" s="53"/>
      <c r="F76" s="53"/>
      <c r="G76" s="53"/>
      <c r="H76" s="222"/>
      <c r="I76" s="134"/>
      <c r="J76" s="134"/>
      <c r="K76" s="134"/>
      <c r="L76" s="134"/>
      <c r="M76" s="134"/>
      <c r="N76" s="134"/>
      <c r="O76" s="134"/>
      <c r="P76" s="221"/>
      <c r="Q76" s="221"/>
      <c r="R76" s="221"/>
      <c r="S76" s="221"/>
      <c r="T76" s="221"/>
      <c r="U76" s="221"/>
      <c r="V76" s="221"/>
      <c r="W76" s="221"/>
      <c r="X76" s="221"/>
      <c r="Y76" s="221"/>
      <c r="Z76" s="221"/>
      <c r="AA76" s="221"/>
      <c r="AB76" s="221"/>
      <c r="AC76" s="221"/>
      <c r="AD76" s="221"/>
      <c r="AE76" s="221"/>
      <c r="AH76" s="223"/>
      <c r="AI76" s="223"/>
      <c r="AJ76" s="223"/>
      <c r="AK76" s="223"/>
    </row>
    <row r="77" spans="1:43" hidden="1">
      <c r="G77" s="158"/>
      <c r="AG77" s="82"/>
      <c r="AH77" s="82"/>
      <c r="AI77" s="82"/>
      <c r="AJ77" s="82"/>
      <c r="AK77" s="82"/>
      <c r="AP77">
        <v>0.27</v>
      </c>
      <c r="AQ77" t="s">
        <v>31</v>
      </c>
    </row>
    <row r="78" spans="1:43" ht="13" hidden="1" thickBot="1">
      <c r="B78" s="74" t="s">
        <v>13</v>
      </c>
      <c r="C78" s="77"/>
      <c r="D78" s="77"/>
      <c r="E78" s="14" t="s">
        <v>10</v>
      </c>
      <c r="F78" s="129"/>
      <c r="G78" s="129"/>
      <c r="H78" s="129"/>
      <c r="I78" s="129"/>
      <c r="J78" s="155">
        <f>ROUND(IF(ISERROR($E$30*(J36/Annual_Salary)),0,$E$30*(J36/Annual_Salary)),4)</f>
        <v>0.50049999999999994</v>
      </c>
      <c r="K78" s="155">
        <f>ROUND(IF(ISERROR($E$30*((K36)/Annual_Salary)),0,$E$30*((K36)/Annual_Salary)),4)</f>
        <v>0.15</v>
      </c>
      <c r="L78" s="155">
        <f>ROUND(IF(ISERROR($E$30*((L36)/Annual_Salary)),0,$E$30*((L36)/Annual_Salary)),4)</f>
        <v>0</v>
      </c>
      <c r="M78" s="156">
        <f>IF(ISERROR($E$30-SUM(J78:L78)),0,$E$30-SUM(J78:L78))</f>
        <v>0.34950000000000003</v>
      </c>
      <c r="N78" s="67">
        <f t="shared" ref="N78:N98" si="19">SUM(J78:M78)</f>
        <v>1</v>
      </c>
      <c r="O78" s="134"/>
      <c r="P78" s="143"/>
      <c r="Q78" s="134"/>
      <c r="R78" s="218"/>
      <c r="S78" s="134"/>
      <c r="T78" s="134"/>
      <c r="U78" s="134"/>
      <c r="V78" s="134"/>
      <c r="W78" s="134"/>
      <c r="X78" s="134"/>
      <c r="Y78" s="134"/>
      <c r="Z78" s="134"/>
      <c r="AA78" s="134"/>
      <c r="AB78" s="134"/>
      <c r="AC78" s="134"/>
      <c r="AD78" s="134"/>
      <c r="AE78" s="134"/>
      <c r="AG78" s="95"/>
      <c r="AH78" s="35"/>
      <c r="AI78" s="35"/>
      <c r="AJ78" s="35"/>
      <c r="AK78" s="79"/>
      <c r="AP78" s="71">
        <f>SUM(AP45:AP77)</f>
        <v>0.27</v>
      </c>
    </row>
    <row r="79" spans="1:43" hidden="1">
      <c r="B79" s="75" t="s">
        <v>14</v>
      </c>
      <c r="C79" s="78"/>
      <c r="D79" s="78"/>
      <c r="E79" s="3"/>
      <c r="F79" s="3"/>
      <c r="G79" s="3"/>
      <c r="H79" s="3"/>
      <c r="I79" s="3"/>
      <c r="J79" s="70">
        <f>IF(ISERROR(J78-J42),0,J78-J42)</f>
        <v>0.40049999999999997</v>
      </c>
      <c r="K79" s="70">
        <f>IF(ISERROR(K78-K42),0,K78-K42)</f>
        <v>0.15</v>
      </c>
      <c r="L79" s="70">
        <f>IF(ISERROR(L78-L42),0,L78-L42)</f>
        <v>0</v>
      </c>
      <c r="M79" s="70">
        <f>IF(ISERROR(M78-M42),0,M78-M42)</f>
        <v>0.34950000000000003</v>
      </c>
      <c r="N79" s="69">
        <f t="shared" si="19"/>
        <v>0.9</v>
      </c>
      <c r="O79" s="135"/>
      <c r="P79" s="135"/>
      <c r="Q79" s="135"/>
      <c r="R79" s="135"/>
      <c r="S79" s="135"/>
      <c r="T79" s="135"/>
      <c r="U79" s="135"/>
      <c r="V79" s="135"/>
      <c r="W79" s="135"/>
      <c r="X79" s="135"/>
      <c r="Y79" s="135"/>
      <c r="Z79" s="135"/>
      <c r="AA79" s="135"/>
      <c r="AB79" s="135"/>
      <c r="AC79" s="135"/>
      <c r="AD79" s="135"/>
      <c r="AE79" s="135"/>
      <c r="AG79" s="81"/>
      <c r="AH79" s="92"/>
      <c r="AI79" s="88"/>
      <c r="AJ79" s="92"/>
      <c r="AK79" s="128"/>
    </row>
    <row r="80" spans="1:43" hidden="1">
      <c r="B80" s="75" t="s">
        <v>15</v>
      </c>
      <c r="C80" s="78"/>
      <c r="D80" s="78"/>
      <c r="E80" s="9" t="s">
        <v>11</v>
      </c>
      <c r="F80" s="9"/>
      <c r="G80" s="9"/>
      <c r="H80" s="9"/>
      <c r="I80" s="9"/>
      <c r="J80" s="69">
        <f>IF(ISERROR(J78-J42-J43),0,J78-J42-J43)</f>
        <v>0.30049999999999999</v>
      </c>
      <c r="K80" s="69">
        <f>IF(ISERROR(K78-K42-K43),0,K78-K42-K43)</f>
        <v>0.15</v>
      </c>
      <c r="L80" s="69">
        <f>IF(ISERROR(L78-L42-L43),0,L78-L42-L43)</f>
        <v>0</v>
      </c>
      <c r="M80" s="69">
        <f>IF(ISERROR(M78-M42-M43),0,M78-M42-M43)</f>
        <v>0.34950000000000003</v>
      </c>
      <c r="N80" s="69">
        <f t="shared" si="19"/>
        <v>0.8</v>
      </c>
      <c r="O80" s="135"/>
      <c r="P80" s="135"/>
      <c r="Q80" s="135">
        <f>Q79-Q78</f>
        <v>0</v>
      </c>
      <c r="R80" s="135"/>
      <c r="S80" s="135"/>
      <c r="T80" s="135"/>
      <c r="U80" s="135"/>
      <c r="V80" s="135"/>
      <c r="W80" s="135"/>
      <c r="X80" s="135"/>
      <c r="Y80" s="135"/>
      <c r="Z80" s="135"/>
      <c r="AA80" s="135"/>
      <c r="AB80" s="135"/>
      <c r="AC80" s="135"/>
      <c r="AD80" s="135"/>
      <c r="AE80" s="135"/>
      <c r="AG80" s="96"/>
      <c r="AH80" s="79"/>
      <c r="AI80" s="97"/>
      <c r="AJ80" s="35"/>
      <c r="AK80" s="89"/>
    </row>
    <row r="81" spans="2:37" hidden="1">
      <c r="B81" s="76"/>
      <c r="C81" s="79"/>
      <c r="D81" s="79"/>
      <c r="E81" s="7"/>
      <c r="F81" s="7"/>
      <c r="G81" s="7"/>
      <c r="H81" s="7"/>
      <c r="I81" s="7"/>
      <c r="J81" s="70">
        <f>IF(ISERROR(J78-J42-J43-J44),0,J78-J42-J43-J44)</f>
        <v>0.20049999999999998</v>
      </c>
      <c r="K81" s="70">
        <f>IF(ISERROR(K78-K42-K43-K44),0,K78-K42-K43-K44)</f>
        <v>0.15</v>
      </c>
      <c r="L81" s="70">
        <f>IF(ISERROR(L78-L42-L43-L44),0,L78-L42-L43-L44)</f>
        <v>0</v>
      </c>
      <c r="M81" s="70">
        <f>IF(ISERROR(M78-M42-M43-M44),0,M78-M42-M43-M44)</f>
        <v>0.34950000000000003</v>
      </c>
      <c r="N81" s="69">
        <f t="shared" si="19"/>
        <v>0.7</v>
      </c>
      <c r="O81" s="135"/>
      <c r="P81" s="135"/>
      <c r="Q81" s="135"/>
      <c r="R81" s="135"/>
      <c r="S81" s="135"/>
      <c r="T81" s="135"/>
      <c r="U81" s="135"/>
      <c r="V81" s="135"/>
      <c r="W81" s="135"/>
      <c r="X81" s="135"/>
      <c r="Y81" s="135"/>
      <c r="Z81" s="135"/>
      <c r="AA81" s="135"/>
      <c r="AB81" s="135"/>
      <c r="AC81" s="135"/>
      <c r="AD81" s="135"/>
      <c r="AE81" s="135"/>
      <c r="AG81" s="85"/>
      <c r="AH81" s="87"/>
      <c r="AI81" s="86"/>
      <c r="AJ81" s="86"/>
      <c r="AK81" s="87"/>
    </row>
    <row r="82" spans="2:37" hidden="1">
      <c r="B82" s="76"/>
      <c r="C82" s="79"/>
      <c r="D82" s="79"/>
      <c r="E82" s="7"/>
      <c r="F82" s="7"/>
      <c r="G82" s="7"/>
      <c r="H82" s="7"/>
      <c r="I82" s="7"/>
      <c r="J82" s="69">
        <f>IF(ISERROR(J78-J42-J43-J44-J45),0,J78-J42-J43-J44-J45)</f>
        <v>0.10049999999999998</v>
      </c>
      <c r="K82" s="69">
        <f>IF(ISERROR(K78-K42-K43-K44-K45),0,K78-K42-K43-K44-K45)</f>
        <v>0.15</v>
      </c>
      <c r="L82" s="69">
        <f>IF(ISERROR(L78-L42-L43-L44-L45),0,L78-L42-L43-L44-L45)</f>
        <v>0</v>
      </c>
      <c r="M82" s="69">
        <f>IF(ISERROR(M78-M42-M43-M44-M45),0,M78-M42-M43-M44-M45)</f>
        <v>0.34950000000000003</v>
      </c>
      <c r="N82" s="69">
        <f t="shared" si="19"/>
        <v>0.6</v>
      </c>
      <c r="O82" s="135"/>
      <c r="P82" s="135"/>
      <c r="Q82" s="135"/>
      <c r="R82" s="135"/>
      <c r="S82" s="135"/>
      <c r="T82" s="135"/>
      <c r="U82" s="135"/>
      <c r="V82" s="135"/>
      <c r="W82" s="135"/>
      <c r="X82" s="135"/>
      <c r="Y82" s="135"/>
      <c r="Z82" s="135"/>
      <c r="AA82" s="135"/>
      <c r="AB82" s="135"/>
      <c r="AC82" s="135"/>
      <c r="AD82" s="135"/>
      <c r="AE82" s="135"/>
      <c r="AG82" s="90"/>
      <c r="AH82" s="94"/>
      <c r="AI82" s="92"/>
      <c r="AJ82" s="93"/>
      <c r="AK82" s="94"/>
    </row>
    <row r="83" spans="2:37" hidden="1">
      <c r="B83" s="76"/>
      <c r="C83" s="79"/>
      <c r="D83" s="79"/>
      <c r="E83" s="7"/>
      <c r="F83" s="7"/>
      <c r="G83" s="7"/>
      <c r="H83" s="7"/>
      <c r="I83" s="7"/>
      <c r="J83" s="70">
        <f>IF(ISERROR(J78-J42-J43-J44-J45-J46),0,J78-J42-J43-J44-J45-J46)</f>
        <v>4.9999999999997269E-4</v>
      </c>
      <c r="K83" s="70">
        <f>IF(ISERROR(K78-K42-K43-K44-K45-K46),0,K78-K42-K43-K44-K45-K46)</f>
        <v>0.15</v>
      </c>
      <c r="L83" s="70">
        <f>IF(ISERROR(L78-L42-L43-L44-L45-L46),0,L78-L42-L43-L44-L45-L46)</f>
        <v>0</v>
      </c>
      <c r="M83" s="70">
        <f>IF(ISERROR(M78-M42-M43-M44-M45-M46),0,M78-M42-M43-M44-M45-M46)</f>
        <v>0.34950000000000003</v>
      </c>
      <c r="N83" s="69">
        <f t="shared" si="19"/>
        <v>0.5</v>
      </c>
      <c r="O83" s="135"/>
      <c r="P83" s="135"/>
      <c r="Q83" s="135"/>
      <c r="R83" s="135"/>
      <c r="S83" s="135"/>
      <c r="T83" s="135"/>
      <c r="U83" s="135"/>
      <c r="V83" s="135"/>
      <c r="W83" s="135"/>
      <c r="X83" s="135"/>
      <c r="Y83" s="135"/>
      <c r="Z83" s="135"/>
      <c r="AA83" s="135"/>
      <c r="AB83" s="135"/>
      <c r="AC83" s="135"/>
      <c r="AD83" s="135"/>
      <c r="AE83" s="135"/>
      <c r="AG83" s="90"/>
      <c r="AH83" s="112"/>
      <c r="AI83" s="92"/>
      <c r="AJ83" s="91"/>
      <c r="AK83" s="98"/>
    </row>
    <row r="84" spans="2:37" hidden="1">
      <c r="B84" s="76"/>
      <c r="C84" s="79"/>
      <c r="D84" s="79"/>
      <c r="E84" s="7"/>
      <c r="F84" s="7"/>
      <c r="G84" s="7"/>
      <c r="H84" s="7"/>
      <c r="I84" s="7"/>
      <c r="J84" s="69">
        <f>IF(ISERROR(J78-J42-J43-J44-J45-J46-J47),0,J78-J42-J43-J44-J45-J46-J47)</f>
        <v>0</v>
      </c>
      <c r="K84" s="69">
        <f>IF(ISERROR(K78-K42-K43-K44-K45-K46-K47),0,K78-K42-K43-K44-K45-K46-K47)</f>
        <v>5.0499999999999962E-2</v>
      </c>
      <c r="L84" s="69">
        <f>IF(ISERROR(L78-L42-L43-L44-L45-L46-L47),0,L78-L42-L43-L44-L45-L46-L47)</f>
        <v>0</v>
      </c>
      <c r="M84" s="69">
        <f>IF(ISERROR(M78-M42-M43-M44-M45-M46-M47),0,M78-M42-M43-M44-M45-M46-M47)</f>
        <v>0.34950000000000003</v>
      </c>
      <c r="N84" s="69">
        <f t="shared" si="19"/>
        <v>0.4</v>
      </c>
      <c r="O84" s="135"/>
      <c r="P84" s="135"/>
      <c r="Q84" s="135"/>
      <c r="R84" s="135"/>
      <c r="S84" s="135"/>
      <c r="T84" s="135"/>
      <c r="U84" s="135"/>
      <c r="V84" s="135"/>
      <c r="W84" s="135"/>
      <c r="X84" s="135"/>
      <c r="Y84" s="135"/>
      <c r="Z84" s="135"/>
      <c r="AA84" s="135"/>
      <c r="AB84" s="135"/>
      <c r="AC84" s="135"/>
      <c r="AD84" s="135"/>
      <c r="AE84" s="135"/>
      <c r="AG84" s="90"/>
      <c r="AH84" s="112"/>
      <c r="AI84" s="92"/>
      <c r="AJ84" s="91"/>
      <c r="AK84" s="98"/>
    </row>
    <row r="85" spans="2:37" hidden="1">
      <c r="B85" s="76"/>
      <c r="C85" s="79"/>
      <c r="D85" s="79"/>
      <c r="E85" s="7"/>
      <c r="F85" s="7"/>
      <c r="G85" s="7"/>
      <c r="H85" s="7"/>
      <c r="I85" s="7"/>
      <c r="J85" s="70">
        <f>IF(ISERROR(J78-J42-J43-J44-J45-J46-J47-J48),0,J78-J42-J43-J44-J45-J46-J47-J48)</f>
        <v>0</v>
      </c>
      <c r="K85" s="70">
        <f>IF(ISERROR(K78-K42-K43-K44-K45-K46-K47-K48),0,K78-K42-K43-K44-K45-K46-K47-K48)</f>
        <v>0</v>
      </c>
      <c r="L85" s="70">
        <f>IF(ISERROR(L78-L42-L43-L44-L45-L46-L47-L48),0,L78-L42-L43-L44-L45-L46-L47-L48)</f>
        <v>0</v>
      </c>
      <c r="M85" s="70">
        <f>IF(ISERROR(M78-M42-M43-M44-M45-M46-M47-M48),0,M78-M42-M43-M44-M45-M46-M47-M48)</f>
        <v>0.3</v>
      </c>
      <c r="N85" s="69">
        <f t="shared" si="19"/>
        <v>0.3</v>
      </c>
      <c r="O85" s="135"/>
      <c r="P85" s="135"/>
      <c r="Q85" s="135"/>
      <c r="R85" s="135"/>
      <c r="S85" s="135"/>
      <c r="T85" s="135"/>
      <c r="U85" s="135"/>
      <c r="V85" s="135"/>
      <c r="W85" s="135"/>
      <c r="X85" s="135"/>
      <c r="Y85" s="135"/>
      <c r="Z85" s="135"/>
      <c r="AA85" s="135"/>
      <c r="AB85" s="135"/>
      <c r="AC85" s="135"/>
      <c r="AD85" s="135"/>
      <c r="AE85" s="135"/>
      <c r="AG85" s="90"/>
      <c r="AH85" s="112"/>
      <c r="AI85" s="92"/>
      <c r="AJ85" s="91"/>
      <c r="AK85" s="98"/>
    </row>
    <row r="86" spans="2:37" hidden="1">
      <c r="B86" s="76"/>
      <c r="C86" s="79"/>
      <c r="D86" s="79"/>
      <c r="E86" s="7"/>
      <c r="F86" s="7"/>
      <c r="G86" s="7"/>
      <c r="H86" s="7"/>
      <c r="I86" s="7"/>
      <c r="J86" s="69">
        <f>IF(ISERROR(J78-J42-J43-J44-J45-J46-J47-J48-J49),0,J78-J42-J43-J44-J45-J46-J47-J48-J49)</f>
        <v>0</v>
      </c>
      <c r="K86" s="69">
        <f>IF(ISERROR(K78-K42-K43-K44-K45-K46-K47-K48-K49),0,K78-K42-K43-K44-K45-K46-K47-K48-K49)</f>
        <v>0</v>
      </c>
      <c r="L86" s="69">
        <f>IF(ISERROR(L78-L42-L43-L44-L45-L46-L47-L48-L49),0,L78-L42-L43-L44-L45-L46-L47-L48-L49)</f>
        <v>0</v>
      </c>
      <c r="M86" s="69">
        <f>IF(ISERROR(M78-M42-M43-M44-M45-M46-M47-M48-M49),0,M78-M42-M43-M44-M45-M46-M47-M48-M49)</f>
        <v>0.19999999999999998</v>
      </c>
      <c r="N86" s="69">
        <f t="shared" si="19"/>
        <v>0.19999999999999998</v>
      </c>
      <c r="O86" s="135"/>
      <c r="P86" s="135"/>
      <c r="Q86" s="135"/>
      <c r="R86" s="135"/>
      <c r="S86" s="135"/>
      <c r="T86" s="135"/>
      <c r="U86" s="135"/>
      <c r="V86" s="135"/>
      <c r="W86" s="135"/>
      <c r="X86" s="135"/>
      <c r="Y86" s="135"/>
      <c r="Z86" s="135"/>
      <c r="AA86" s="135"/>
      <c r="AB86" s="135"/>
      <c r="AC86" s="135"/>
      <c r="AD86" s="135"/>
      <c r="AE86" s="135"/>
      <c r="AG86" s="90"/>
      <c r="AH86" s="112"/>
      <c r="AI86" s="92"/>
      <c r="AJ86" s="91"/>
      <c r="AK86" s="98"/>
    </row>
    <row r="87" spans="2:37" hidden="1">
      <c r="B87" s="76"/>
      <c r="C87" s="79"/>
      <c r="D87" s="79"/>
      <c r="E87" s="7"/>
      <c r="F87" s="7"/>
      <c r="G87" s="7"/>
      <c r="H87" s="7"/>
      <c r="I87" s="7"/>
      <c r="J87" s="69">
        <f>IF(ISERROR(J78-J42-J43-J44-J45-J46-J47-J48-J49-J50),0,J78-J42-J43-J44-J45-J46-J47-J48-J49-J50)</f>
        <v>0</v>
      </c>
      <c r="K87" s="69">
        <f>IF(ISERROR(K78-K42-K43-K44-K45-K46-K47-K48-K49-K50),0,K78-K42-K43-K44-K45-K46-K47-K48-K49-K50)</f>
        <v>0</v>
      </c>
      <c r="L87" s="69">
        <f>IF(ISERROR(L78-L42-L43-L44-L45-L46-L47-L48-L49-L50),0,L78-L42-L43-L44-L45-L46-L47-L48-L49-L50)</f>
        <v>0</v>
      </c>
      <c r="M87" s="69">
        <f>IF(ISERROR(M78-M42-M43-M44-M45-M46-M47-M48-M49-M50),0,M78-M42-M43-M44-M45-M46-M47-M48-M49-M50)</f>
        <v>0.19999999999999998</v>
      </c>
      <c r="N87" s="69">
        <f t="shared" si="19"/>
        <v>0.19999999999999998</v>
      </c>
      <c r="O87" s="135"/>
      <c r="P87" s="135"/>
      <c r="Q87" s="135"/>
      <c r="R87" s="135"/>
      <c r="S87" s="135"/>
      <c r="T87" s="135"/>
      <c r="U87" s="135"/>
      <c r="V87" s="135"/>
      <c r="W87" s="135"/>
      <c r="X87" s="135"/>
      <c r="Y87" s="135"/>
      <c r="Z87" s="135"/>
      <c r="AA87" s="135"/>
      <c r="AB87" s="135"/>
      <c r="AC87" s="135"/>
      <c r="AD87" s="135"/>
      <c r="AE87" s="135"/>
      <c r="AG87" s="358"/>
      <c r="AH87" s="359"/>
      <c r="AI87" s="31"/>
      <c r="AJ87" s="360"/>
      <c r="AK87" s="361"/>
    </row>
    <row r="88" spans="2:37" hidden="1">
      <c r="B88" s="76"/>
      <c r="C88" s="79"/>
      <c r="D88" s="79"/>
      <c r="E88" s="7"/>
      <c r="F88" s="7"/>
      <c r="G88" s="7"/>
      <c r="H88" s="7"/>
      <c r="I88" s="7"/>
      <c r="J88" s="69">
        <f>IF(ISERROR(J78-J42-J43-J44-J45-J46-J47-J48-J49-J50-J51),0,J78-J42-J43-J44-J45-J46-J47-J48-J49-J50-J51)</f>
        <v>0</v>
      </c>
      <c r="K88" s="69">
        <f>IF(ISERROR(K78-K42-K43-K44-K45-K46-K47-K48-K49-K50-K51),0,K78-K42-K43-K44-K45-K46-K47-K48-K49-K50-K51)</f>
        <v>0</v>
      </c>
      <c r="L88" s="69">
        <f>IF(ISERROR(L78-L42-L43-L44-L45-L46-L47-L48-L49-L50-L51),0,L78-L42-L43-L44-L45-L46-L47-L48-L49-L50-L51)</f>
        <v>0</v>
      </c>
      <c r="M88" s="69">
        <f>IF(ISERROR(M78-M42-M43-M44-M45-M46-M47-M48-M49-M50-M51),0,M78-M42-M43-M44-M45-M46-M47-M48-M49-M50-M51)</f>
        <v>0.19999999999999998</v>
      </c>
      <c r="N88" s="69">
        <f t="shared" si="19"/>
        <v>0.19999999999999998</v>
      </c>
      <c r="O88" s="135"/>
      <c r="P88" s="135"/>
      <c r="Q88" s="135"/>
      <c r="R88" s="135"/>
      <c r="S88" s="135"/>
      <c r="T88" s="135"/>
      <c r="U88" s="135"/>
      <c r="V88" s="135"/>
      <c r="W88" s="135"/>
      <c r="X88" s="135"/>
      <c r="Y88" s="135"/>
      <c r="Z88" s="135"/>
      <c r="AA88" s="135"/>
      <c r="AB88" s="135"/>
      <c r="AC88" s="135"/>
      <c r="AD88" s="135"/>
      <c r="AE88" s="135"/>
      <c r="AG88" s="358"/>
      <c r="AH88" s="359"/>
      <c r="AI88" s="31"/>
      <c r="AJ88" s="360"/>
      <c r="AK88" s="361"/>
    </row>
    <row r="89" spans="2:37" hidden="1">
      <c r="B89" s="76"/>
      <c r="C89" s="79"/>
      <c r="D89" s="79"/>
      <c r="E89" s="7"/>
      <c r="F89" s="7"/>
      <c r="G89" s="7"/>
      <c r="H89" s="7"/>
      <c r="I89" s="7"/>
      <c r="J89" s="69">
        <f>IF(ISERROR(J78-J42-J43-J44-J45-J46-J47-J48-J49-J50-J51-J52),0,J78-J42-J43-J44-J45-J46-J47-J48-J49-J50-J51-J52)</f>
        <v>0</v>
      </c>
      <c r="K89" s="69">
        <f>IF(ISERROR(K78-K42-K43-K44-K45-K46-K47-K48-K49-K50-K51-K52),0,K78-K42-K43-K44-K45-K46-K47-K48-K49-K50-K51-K52)</f>
        <v>0</v>
      </c>
      <c r="L89" s="69">
        <f>IF(ISERROR(L78-L42-L43-L44-L45-L46-L47-L48-L49-L50-L51-L52),0,L78-L42-L43-L44-L45-L46-L47-L48-L49-L50-L51-L52)</f>
        <v>0</v>
      </c>
      <c r="M89" s="69">
        <f>IF(ISERROR(M78-M42-M43-M44-M45-M46-M47-M48-M49-M50-M51-M52),0,M78-M42-M43-M44-M45-M46-M47-M48-M49-M50-M51-M52)</f>
        <v>0.19999999999999998</v>
      </c>
      <c r="N89" s="69">
        <f t="shared" si="19"/>
        <v>0.19999999999999998</v>
      </c>
      <c r="O89" s="135"/>
      <c r="P89" s="135"/>
      <c r="Q89" s="135"/>
      <c r="R89" s="135"/>
      <c r="S89" s="135"/>
      <c r="T89" s="135"/>
      <c r="U89" s="135"/>
      <c r="V89" s="135"/>
      <c r="W89" s="135"/>
      <c r="X89" s="135"/>
      <c r="Y89" s="135"/>
      <c r="Z89" s="135"/>
      <c r="AA89" s="135"/>
      <c r="AB89" s="135"/>
      <c r="AC89" s="135"/>
      <c r="AD89" s="135"/>
      <c r="AE89" s="135"/>
      <c r="AG89" s="358"/>
      <c r="AH89" s="359"/>
      <c r="AI89" s="31"/>
      <c r="AJ89" s="360"/>
      <c r="AK89" s="361"/>
    </row>
    <row r="90" spans="2:37" hidden="1">
      <c r="B90" s="76"/>
      <c r="C90" s="79"/>
      <c r="D90" s="79"/>
      <c r="E90" s="7"/>
      <c r="F90" s="7"/>
      <c r="G90" s="7"/>
      <c r="H90" s="7"/>
      <c r="I90" s="7"/>
      <c r="J90" s="69">
        <f>IF(ISERROR(J78-J42-J43-J44-J45-J46-J47-J48-J49-J50-J51-J52-J53),0,J78-J42-J43-J44-J45-J46-J47-J48-J49-J50-J51-J52-J53)</f>
        <v>0</v>
      </c>
      <c r="K90" s="69">
        <f>IF(ISERROR(K78-K42-K43-K44-K45-K46-K47-K48-K49-K50-K51-K52-K53),0,K78-K42-K43-K44-K45-K46-K47-K48-K49-K50-K51-K52-K53)</f>
        <v>0</v>
      </c>
      <c r="L90" s="69">
        <f>IF(ISERROR(L78-L42-L43-L44-L45-L46-L47-L48-L49-L50-L51-L52-L53),0,L78-L42-L43-L44-L45-L46-L47-L48-L49-L50-L51-L52-L53)</f>
        <v>0</v>
      </c>
      <c r="M90" s="69">
        <f>IF(ISERROR(M78-M42-M43-M44-M45-M46-M47-M48-M49-M50-M51-M52-M53),0,M78-M42-M43-M44-M45-M46-M47-M48-M49-M50-M51-M52-M53)</f>
        <v>0.19999999999999998</v>
      </c>
      <c r="N90" s="69">
        <f t="shared" si="19"/>
        <v>0.19999999999999998</v>
      </c>
      <c r="O90" s="135"/>
      <c r="P90" s="135"/>
      <c r="Q90" s="135"/>
      <c r="R90" s="135"/>
      <c r="S90" s="135"/>
      <c r="T90" s="135"/>
      <c r="U90" s="135"/>
      <c r="V90" s="135"/>
      <c r="W90" s="135"/>
      <c r="X90" s="135"/>
      <c r="Y90" s="135"/>
      <c r="Z90" s="135"/>
      <c r="AA90" s="135"/>
      <c r="AB90" s="135"/>
      <c r="AC90" s="135"/>
      <c r="AD90" s="135"/>
      <c r="AE90" s="135"/>
      <c r="AG90" s="358"/>
      <c r="AH90" s="359"/>
      <c r="AI90" s="31"/>
      <c r="AJ90" s="360"/>
      <c r="AK90" s="361"/>
    </row>
    <row r="91" spans="2:37" hidden="1">
      <c r="B91" s="76"/>
      <c r="C91" s="79"/>
      <c r="D91" s="79"/>
      <c r="E91" s="7"/>
      <c r="F91" s="7"/>
      <c r="G91" s="7"/>
      <c r="H91" s="7"/>
      <c r="I91" s="7"/>
      <c r="J91" s="69">
        <f>IF(ISERROR(J78-J42-J43-J44-J45-J46-J47-J48-J49-J50-J51-J52-J53-J54),0,J78-J42-J43-J44-J45-J46-J47-J48-J49-J50-J51-J52-J53-J54)</f>
        <v>0</v>
      </c>
      <c r="K91" s="69">
        <f>IF(ISERROR(K78-K42-K43-K44-K45-K46-K47-K48-K49-K50-K51-K52-K53-K54),0,K78-K42-K43-K44-K45-K46-K47-K48-K49-K50-K51-K52-K53-K54)</f>
        <v>0</v>
      </c>
      <c r="L91" s="69">
        <f>IF(ISERROR(L78-L42-L43-L44-L45-L46-L47-L48-L49-L50-L51-L52-L53-L54),0,L78-L42-L43-L44-L45-L46-L47-L48-L49-L50-L51-L52-L53-L54)</f>
        <v>0</v>
      </c>
      <c r="M91" s="69">
        <f>IF(ISERROR(M78-M42-M43-M44-M45-M46-M47-M48-M49-M50-M51-M52-M53-M54),0,M78-M42-M43-M44-M45-M46-M47-M48-M49-M50-M51-M52-M53-M54)</f>
        <v>9.9999999999999978E-2</v>
      </c>
      <c r="N91" s="69">
        <f t="shared" si="19"/>
        <v>9.9999999999999978E-2</v>
      </c>
      <c r="O91" s="135"/>
      <c r="P91" s="135"/>
      <c r="Q91" s="135"/>
      <c r="R91" s="135"/>
      <c r="S91" s="135"/>
      <c r="T91" s="135"/>
      <c r="U91" s="135"/>
      <c r="V91" s="135"/>
      <c r="W91" s="135"/>
      <c r="X91" s="135"/>
      <c r="Y91" s="135"/>
      <c r="Z91" s="135"/>
      <c r="AA91" s="135"/>
      <c r="AB91" s="135"/>
      <c r="AC91" s="135"/>
      <c r="AD91" s="135"/>
      <c r="AE91" s="135"/>
      <c r="AG91" s="358"/>
      <c r="AH91" s="359"/>
      <c r="AI91" s="31"/>
      <c r="AJ91" s="360"/>
      <c r="AK91" s="361"/>
    </row>
    <row r="92" spans="2:37" hidden="1">
      <c r="B92" s="76"/>
      <c r="C92" s="79"/>
      <c r="D92" s="79"/>
      <c r="E92" s="7"/>
      <c r="F92" s="7"/>
      <c r="G92" s="7"/>
      <c r="H92" s="7"/>
      <c r="I92" s="7"/>
      <c r="J92" s="69">
        <f>IF(ISERROR(J78-J42-J43-J44-J45-J46-J47-J48-J49-J50-J51-J52-J53-J54-J55),0,J78-J42-J43-J44-J45-J46-J47-J48-J49-J50-J51-J52-J53-J54-J55)</f>
        <v>0</v>
      </c>
      <c r="K92" s="69">
        <f>IF(ISERROR(K78-K42-K43-K44-K45-K46-K47-K48-K49-K50-K51-K52-K53-K54-K55),0,K78-K42-K43-K44-K45-K46-K47-K48-K49-K50-K51-K52-K53-K54-K55)</f>
        <v>0</v>
      </c>
      <c r="L92" s="69">
        <f>IF(ISERROR(L78-L42-L43-L44-L45-L46-L47-L48-L49-L50-L51-L52-L53-L54-L55),0,L78-L42-L43-L44-L45-L46-L47-L48-L49-L50-L51-L52-L53-L54-L55)</f>
        <v>0</v>
      </c>
      <c r="M92" s="69">
        <f>IF(ISERROR(M78-M42-M43-M44-M45-M46-M47-M48-M49-M50-M51-M52-M53-M54-M55),0,M78-M42-M43-M44-M45-M46-M47-M48-M49-M50-M51-M52-M53-M54-M55)</f>
        <v>9.9999999999999978E-2</v>
      </c>
      <c r="N92" s="69">
        <f t="shared" si="19"/>
        <v>9.9999999999999978E-2</v>
      </c>
      <c r="O92" s="135"/>
      <c r="P92" s="135"/>
      <c r="Q92" s="135"/>
      <c r="R92" s="135"/>
      <c r="S92" s="135"/>
      <c r="T92" s="135"/>
      <c r="U92" s="135"/>
      <c r="V92" s="135"/>
      <c r="W92" s="135"/>
      <c r="X92" s="135"/>
      <c r="Y92" s="135"/>
      <c r="Z92" s="135"/>
      <c r="AA92" s="135"/>
      <c r="AB92" s="135"/>
      <c r="AC92" s="135"/>
      <c r="AD92" s="135"/>
      <c r="AE92" s="135"/>
      <c r="AG92" s="358"/>
      <c r="AH92" s="359"/>
      <c r="AI92" s="31"/>
      <c r="AJ92" s="360"/>
      <c r="AK92" s="361"/>
    </row>
    <row r="93" spans="2:37" hidden="1">
      <c r="B93" s="76"/>
      <c r="C93" s="79"/>
      <c r="D93" s="79"/>
      <c r="E93" s="7"/>
      <c r="F93" s="7"/>
      <c r="G93" s="7"/>
      <c r="H93" s="7"/>
      <c r="I93" s="7"/>
      <c r="J93" s="69">
        <f>IF(ISERROR(J78-J42-J43-J44-J45-J46-J47-J48-J49-J50-J51-J52-J53-J54-J55-J56),0,J78-J42-J43-J44-J45-J46-J47-J48-J49-J50-J51-J52-J53-J54-J55-J56)</f>
        <v>0</v>
      </c>
      <c r="K93" s="69">
        <f>IF(ISERROR(K78-K42-K43-K44-K45-K46-K47-K48-K49-K50-K51-K52-K53-K54-K55-K56),0,K78-K42-K43-K44-K45-K46-K47-K48-K49-K50-K51-K52-K53-K54-K55-K56)</f>
        <v>0</v>
      </c>
      <c r="L93" s="69">
        <f>IF(ISERROR(L78-L42-L43-L44-L45-L46-L47-L48-L49-L50-L51-L52-L53-L54-L55-L56),0,L78-L42-L43-L44-L45-L46-L47-L48-L49-L50-L51-L52-L53-L54-L55-L56)</f>
        <v>0</v>
      </c>
      <c r="M93" s="69">
        <f>IF(ISERROR(M78-M42-M43-M44-M45-M46-M47-M48-M49-M50-M51-M52-M53-M54-M55-M56),0,M78-M42-M43-M44-M45-M46-M47-M48-M49-M50-M51-M52-M53-M54-M55-M56)</f>
        <v>9.9999999999999978E-2</v>
      </c>
      <c r="N93" s="69">
        <f t="shared" si="19"/>
        <v>9.9999999999999978E-2</v>
      </c>
      <c r="O93" s="135"/>
      <c r="P93" s="135"/>
      <c r="Q93" s="135"/>
      <c r="R93" s="135"/>
      <c r="S93" s="135"/>
      <c r="T93" s="135"/>
      <c r="U93" s="135"/>
      <c r="V93" s="135"/>
      <c r="W93" s="135"/>
      <c r="X93" s="135"/>
      <c r="Y93" s="135"/>
      <c r="Z93" s="135"/>
      <c r="AA93" s="135"/>
      <c r="AB93" s="135"/>
      <c r="AC93" s="135"/>
      <c r="AD93" s="135"/>
      <c r="AE93" s="135"/>
      <c r="AG93" s="358"/>
      <c r="AH93" s="359"/>
      <c r="AI93" s="31"/>
      <c r="AJ93" s="360"/>
      <c r="AK93" s="361"/>
    </row>
    <row r="94" spans="2:37" hidden="1">
      <c r="B94" s="76"/>
      <c r="C94" s="79"/>
      <c r="D94" s="79"/>
      <c r="E94" s="7"/>
      <c r="F94" s="7"/>
      <c r="G94" s="7"/>
      <c r="H94" s="7"/>
      <c r="I94" s="7"/>
      <c r="J94" s="69">
        <f>IF(ISERROR(J78-J42-J43-J44-J45-J46-J47-J48-J49-J50-J51-J52-J53-J54-J55-J56-J57),0,J78-J42-J43-J44-J45-J46-J47-J48-J49-J50-J51-J52-J53-J54-J55-J56-J57)</f>
        <v>0</v>
      </c>
      <c r="K94" s="69">
        <f>IF(ISERROR(K78-K42-K43-K44-K45-K46-K47-K48-K49-K50-K51-K52-K53-K54-K55-K56-K57),0,K78-K42-K43-K44-K45-K46-K47-K48-K49-K50-K51-K52-K53-K54-K55-K56-K57)</f>
        <v>0</v>
      </c>
      <c r="L94" s="69">
        <f>IF(ISERROR(L78-L42-L43-L44-L45-L46-L47-L48-L49-L50-L51-L52-L53-L54-L55-L56-L57),0,L78-L42-L43-L44-L45-L46-L47-L48-L49-L50-L51-L52-L53-L54-L55-L56-L57)</f>
        <v>0</v>
      </c>
      <c r="M94" s="69">
        <f>IF(ISERROR(M78-M42-M43-M44-M45-M46-M47-M48-M49-M50-M51-M52-M53-M54-M55-M56-M57),0,M78-M42-M43-M44-M45-M46-M47-M48-M49-M50-M51-M52-M53-M54-M55-M56-M57)</f>
        <v>9.9999999999999978E-2</v>
      </c>
      <c r="N94" s="69">
        <f t="shared" si="19"/>
        <v>9.9999999999999978E-2</v>
      </c>
      <c r="O94" s="135"/>
      <c r="P94" s="135"/>
      <c r="Q94" s="135"/>
      <c r="R94" s="135"/>
      <c r="S94" s="135"/>
      <c r="T94" s="135"/>
      <c r="U94" s="135"/>
      <c r="V94" s="135"/>
      <c r="W94" s="135"/>
      <c r="X94" s="135"/>
      <c r="Y94" s="135"/>
      <c r="Z94" s="135"/>
      <c r="AA94" s="135"/>
      <c r="AB94" s="135"/>
      <c r="AC94" s="135"/>
      <c r="AD94" s="135"/>
      <c r="AE94" s="135"/>
      <c r="AG94" s="358"/>
      <c r="AH94" s="359"/>
      <c r="AI94" s="31"/>
      <c r="AJ94" s="360"/>
      <c r="AK94" s="361"/>
    </row>
    <row r="95" spans="2:37" hidden="1">
      <c r="B95" s="76"/>
      <c r="C95" s="79"/>
      <c r="D95" s="79"/>
      <c r="E95" s="7"/>
      <c r="F95" s="7"/>
      <c r="G95" s="7"/>
      <c r="H95" s="7"/>
      <c r="I95" s="7"/>
      <c r="J95" s="69">
        <f>IF(ISERROR(J78-J42-J43-J44-J45-J46-J47-J48-J49-J50-J51-J52-J53-J54-J55-J56-J57-J58),0,J78-J42-J43-J44-J45-J46-J47-J48-J49-J50-J51-J52-J53-J54-J55-J56-J57-J58)</f>
        <v>0</v>
      </c>
      <c r="K95" s="69">
        <f>IF(ISERROR(K78-K42-K43-K44-K45-K46-K47-K48-K49-K50-K51-K52-K53-K54-K55-K56-K57-K58),0,K78-K42-K43-K44-K45-K46-K47-K48-K49-K50-K51-K52-K53-K54-K55-K56-K57-K58)</f>
        <v>0</v>
      </c>
      <c r="L95" s="69">
        <f>IF(ISERROR(L78-L42-L43-L44-L45-L46-L47-L48-L49-L50-L51-L52-L53-L54-L55-L56-L57-L58),0,L78-L42-L43-L44-L45-L46-L47-L48-L49-L50-L51-L52-L53-L54-L55-L56-L57-L58)</f>
        <v>0</v>
      </c>
      <c r="M95" s="69">
        <f>IF(ISERROR(M78-M42-M43-M44-M45-M46-M47-M48-M49-M50-M51-M52-M53-M54-M55-M56-M57-M58),0,M78-M42-M43-M44-M45-M46-M47-M48-M49-M50-M51-M52-M53-M54-M55-M56-M57-M58)</f>
        <v>9.9999999999999978E-2</v>
      </c>
      <c r="N95" s="69">
        <f t="shared" si="19"/>
        <v>9.9999999999999978E-2</v>
      </c>
      <c r="O95" s="135"/>
      <c r="P95" s="135"/>
      <c r="Q95" s="135"/>
      <c r="R95" s="135"/>
      <c r="S95" s="135"/>
      <c r="T95" s="135"/>
      <c r="U95" s="135"/>
      <c r="V95" s="135"/>
      <c r="W95" s="135"/>
      <c r="X95" s="135"/>
      <c r="Y95" s="135"/>
      <c r="Z95" s="135"/>
      <c r="AA95" s="135"/>
      <c r="AB95" s="135"/>
      <c r="AC95" s="135"/>
      <c r="AD95" s="135"/>
      <c r="AE95" s="135"/>
      <c r="AG95" s="358"/>
      <c r="AH95" s="359"/>
      <c r="AI95" s="31"/>
      <c r="AJ95" s="360"/>
      <c r="AK95" s="361"/>
    </row>
    <row r="96" spans="2:37" hidden="1">
      <c r="B96" s="76"/>
      <c r="C96" s="79"/>
      <c r="D96" s="79"/>
      <c r="E96" s="7"/>
      <c r="F96" s="7"/>
      <c r="G96" s="7"/>
      <c r="H96" s="7"/>
      <c r="I96" s="7"/>
      <c r="J96" s="69">
        <f>IF(ISERROR(J78-J42-J43-J44-J45-J46-J47-J48-J49-J50-J51-J52-J53-J54-J55-J56-J57-J58-J59),0,J78-J42-J43-J44-J45-J46-J47-J48-J49-J50-J51-J52-J53-J54-J55-J56-J57-J58-J59)</f>
        <v>0</v>
      </c>
      <c r="K96" s="69">
        <f>IF(ISERROR(K78-K42-K43-K44-K45-K46-K47-K48-K49-K50-K51-K52-K53-K54-K55-K56-K57-K58-K59),0,K78-K42-K43-K44-K45-K46-K47-K48-K49-K50-K51-K52-K53-K54-K55-K56-K57-K58-K59)</f>
        <v>0</v>
      </c>
      <c r="L96" s="69">
        <f>IF(ISERROR(L78-L42-L43-L44-L45-L46-L47-L48-L49-L50-L51-L52-L53-L54-L55-L56-L57-L58-L59),0,L78-L42-L43-L44-L45-L46-L47-L48-L49-L50-L51-L52-L53-L54-L55-L56-L57-L58-L59)</f>
        <v>0</v>
      </c>
      <c r="M96" s="69">
        <f>IF(ISERROR(M78-M42-M43-M44-M45-M46-M47-M48-M49-M50-M51-M52-M53-M54-M55-M56-M57-M58-M59),0,M78-M42-M43-M44-M45-M46-M47-M48-M49-M50-M51-M52-M53-M54-M55-M56-M57-M58-M59)</f>
        <v>9.9999999999999978E-2</v>
      </c>
      <c r="N96" s="69">
        <f t="shared" si="19"/>
        <v>9.9999999999999978E-2</v>
      </c>
      <c r="O96" s="135"/>
      <c r="P96" s="135"/>
      <c r="Q96" s="135"/>
      <c r="R96" s="135"/>
      <c r="S96" s="135"/>
      <c r="T96" s="135"/>
      <c r="U96" s="135"/>
      <c r="V96" s="135"/>
      <c r="W96" s="135"/>
      <c r="X96" s="135"/>
      <c r="Y96" s="135"/>
      <c r="Z96" s="135"/>
      <c r="AA96" s="135"/>
      <c r="AB96" s="135"/>
      <c r="AC96" s="135"/>
      <c r="AD96" s="135"/>
      <c r="AE96" s="135"/>
      <c r="AG96" s="358"/>
      <c r="AH96" s="359"/>
      <c r="AI96" s="31"/>
      <c r="AJ96" s="360"/>
      <c r="AK96" s="361"/>
    </row>
    <row r="97" spans="2:37" hidden="1">
      <c r="B97" s="76"/>
      <c r="C97" s="79"/>
      <c r="D97" s="79"/>
      <c r="E97" s="7"/>
      <c r="F97" s="7"/>
      <c r="G97" s="7"/>
      <c r="H97" s="7"/>
      <c r="I97" s="7"/>
      <c r="J97" s="69">
        <f>IF(ISERROR(J78-J42-J43-J44-J45-J46-J47-J48-J49-J50-J51-J52-J53-J54-J55-J56-J57-J58-J59-J60),0,J78-J42-J43-J44-J45-J46-J47-J48-J49-J50-J51-J52-J53-J54-J55-J56-J57-J58-J59-J60)</f>
        <v>0</v>
      </c>
      <c r="K97" s="69">
        <f>IF(ISERROR(K78-K42-K43-K44-K45-K46-K47-K48-K49-K50-K51-K52-K53-K54-K55-K56-K57-K58-K59-K60),0,K78-K42-K43-K44-K45-K46-K47-K48-K49-K50-K51-K52-K53-K54-K55-K56-K57-K58-K59-K60)</f>
        <v>0</v>
      </c>
      <c r="L97" s="69">
        <f>IF(ISERROR(L78-L42-L43-L44-L45-L46-L47-L48-L49-L50-L51-L52-L53-L54-L55-L56-L57-L58-L59-L60),0,L78-L42-L43-L44-L45-L46-L47-L48-L49-L50-L51-L52-L53-L54-L55-L56-L57-L58-L59-L60)</f>
        <v>0</v>
      </c>
      <c r="M97" s="69">
        <f>IF(ISERROR(M78-M42-M43-M44-M45-M46-M47-M48-M49-M50-M51-M52-M53-M54-M55-M56-M57-M58-M59-M60),0,M78-M42-M43-M44-M45-M46-M47-M48-M49-M50-M51-M52-M53-M54-M55-M56-M57-M58-M59-M60)</f>
        <v>9.9999999999999978E-2</v>
      </c>
      <c r="N97" s="69">
        <f t="shared" si="19"/>
        <v>9.9999999999999978E-2</v>
      </c>
      <c r="O97" s="135"/>
      <c r="P97" s="135"/>
      <c r="Q97" s="135"/>
      <c r="R97" s="135"/>
      <c r="S97" s="135"/>
      <c r="T97" s="135"/>
      <c r="U97" s="135"/>
      <c r="V97" s="135"/>
      <c r="W97" s="135"/>
      <c r="X97" s="135"/>
      <c r="Y97" s="135"/>
      <c r="Z97" s="135"/>
      <c r="AA97" s="135"/>
      <c r="AB97" s="135"/>
      <c r="AC97" s="135"/>
      <c r="AD97" s="135"/>
      <c r="AE97" s="135"/>
      <c r="AG97" s="358"/>
      <c r="AH97" s="359"/>
      <c r="AI97" s="31"/>
      <c r="AJ97" s="360"/>
      <c r="AK97" s="361"/>
    </row>
    <row r="98" spans="2:37" hidden="1">
      <c r="B98" s="62"/>
      <c r="C98" s="63"/>
      <c r="D98" s="63"/>
      <c r="E98" s="2"/>
      <c r="F98" s="2"/>
      <c r="G98" s="2"/>
      <c r="H98" s="2"/>
      <c r="I98" s="2"/>
      <c r="J98" s="69">
        <f>IF(ISERROR(J78-J42-J43-J44-J45-J46-J47-J48-J49-J50-J51-J52-J53-J54-J55-J56-J57-J58-J59-J60-J61),0,J78-J42-J43-J44-J45-J46-J47-J48-J49-J50-J51-J52-J53-J54-J55-J56-J57-J58-J59-J60-J61)</f>
        <v>0</v>
      </c>
      <c r="K98" s="69">
        <f>IF(ISERROR(K78-K42-K43-K44-K45-K46-K47-K48-K49-K50-K51-K52-K53-K54-K55-K56-K57-K58-K59-K60-K61),0,K78-K42-K43-K44-K45-K46-K47-K48-K49-K50-K51-K52-K53-K54-K55-K56-K57-K58-K59-K60-K61)</f>
        <v>0</v>
      </c>
      <c r="L98" s="69">
        <f>IF(ISERROR(L78-L42-L43-L44-L45-L46-L47-L48-L49-L50-L51-L52-L53-L54-L55-L56-L57-L58-L59-L60-L61),0,L78-L42-L43-L44-L45-L46-L47-L48-L49-L50-L51-L52-L53-L54-L55-L56-L57-L58-L59-L60-L61)</f>
        <v>0</v>
      </c>
      <c r="M98" s="69">
        <f>IF(ISERROR(M78-M42-M43-M44-M45-M46-M47-M48-M49-M50-M51-M52-M53-M54-M55-M56-M57-M58-M59-M60-M61),0,M78-M42-M43-M44-M45-M46-M47-M48-M49-M50-M51-M52-M53-M54-M55-M56-M57-M58-M59-M60-M61)</f>
        <v>0</v>
      </c>
      <c r="N98" s="69">
        <f t="shared" si="19"/>
        <v>0</v>
      </c>
      <c r="O98" s="135"/>
      <c r="P98" s="135"/>
      <c r="Q98" s="135"/>
      <c r="R98" s="135"/>
      <c r="S98" s="135"/>
      <c r="T98" s="135"/>
      <c r="U98" s="135"/>
      <c r="V98" s="135"/>
      <c r="W98" s="135"/>
      <c r="X98" s="135"/>
      <c r="Y98" s="135"/>
      <c r="Z98" s="135"/>
      <c r="AA98" s="135"/>
      <c r="AB98" s="135"/>
      <c r="AC98" s="135"/>
      <c r="AD98" s="135"/>
      <c r="AE98" s="135"/>
      <c r="AG98" s="81"/>
      <c r="AH98" s="82"/>
      <c r="AI98" s="82"/>
      <c r="AJ98" s="82"/>
      <c r="AK98" s="83"/>
    </row>
    <row r="99" spans="2:37" hidden="1"/>
    <row r="100" spans="2:37" hidden="1"/>
  </sheetData>
  <sheetProtection password="C7E2" sheet="1" objects="1" scenarios="1"/>
  <mergeCells count="50">
    <mergeCell ref="D2:L2"/>
    <mergeCell ref="R65:T65"/>
    <mergeCell ref="R66:T67"/>
    <mergeCell ref="AI21:AK21"/>
    <mergeCell ref="AG21:AH21"/>
    <mergeCell ref="D11:G12"/>
    <mergeCell ref="D9:G10"/>
    <mergeCell ref="D7:E8"/>
    <mergeCell ref="A65:N67"/>
    <mergeCell ref="D20:F21"/>
    <mergeCell ref="Z2:Z3"/>
    <mergeCell ref="T4:V8"/>
    <mergeCell ref="W4:W8"/>
    <mergeCell ref="X4:X8"/>
    <mergeCell ref="Y4:Y8"/>
    <mergeCell ref="Z4:Z8"/>
    <mergeCell ref="R2:S3"/>
    <mergeCell ref="R4:S8"/>
    <mergeCell ref="R9:S11"/>
    <mergeCell ref="R12:S14"/>
    <mergeCell ref="R1:Z1"/>
    <mergeCell ref="T2:V3"/>
    <mergeCell ref="W2:W3"/>
    <mergeCell ref="X2:X3"/>
    <mergeCell ref="Y2:Y3"/>
    <mergeCell ref="X9:X11"/>
    <mergeCell ref="Y9:Y11"/>
    <mergeCell ref="Z9:Z11"/>
    <mergeCell ref="W12:W14"/>
    <mergeCell ref="Y12:Y14"/>
    <mergeCell ref="T12:V14"/>
    <mergeCell ref="T9:V11"/>
    <mergeCell ref="W9:W11"/>
    <mergeCell ref="Z12:Z14"/>
    <mergeCell ref="Z15:Z17"/>
    <mergeCell ref="Z18:Z21"/>
    <mergeCell ref="W15:W17"/>
    <mergeCell ref="W18:W21"/>
    <mergeCell ref="X12:X14"/>
    <mergeCell ref="X15:X17"/>
    <mergeCell ref="X18:X21"/>
    <mergeCell ref="R23:Z23"/>
    <mergeCell ref="R24:Z24"/>
    <mergeCell ref="R25:Z25"/>
    <mergeCell ref="Y15:Y17"/>
    <mergeCell ref="Y18:Y21"/>
    <mergeCell ref="R15:S17"/>
    <mergeCell ref="R18:S21"/>
    <mergeCell ref="T15:V17"/>
    <mergeCell ref="T18:V21"/>
  </mergeCells>
  <phoneticPr fontId="0" type="noConversion"/>
  <conditionalFormatting sqref="N21">
    <cfRule type="cellIs" dxfId="2" priority="1" stopIfTrue="1" operator="equal">
      <formula>"Yes"</formula>
    </cfRule>
  </conditionalFormatting>
  <dataValidations count="9">
    <dataValidation type="whole" allowBlank="1" showInputMessage="1" showErrorMessage="1" errorTitle="Scale Validation" error="You must enter a valid scale, between zero and nine." sqref="E31">
      <formula1>0</formula1>
      <formula2>9</formula2>
    </dataValidation>
    <dataValidation type="whole" allowBlank="1" showInputMessage="1" showErrorMessage="1" errorTitle="Assistant error" error="You must enter a valid step level for Asst. Prof, between 1 and 6." sqref="E33">
      <formula1>1</formula1>
      <formula2>6</formula2>
    </dataValidation>
    <dataValidation type="whole" allowBlank="1" showInputMessage="1" showErrorMessage="1" errorTitle="Assoc Error" error="You must enter a valid step level for Assoc Prof, between 1 and 5." sqref="E34">
      <formula1>1</formula1>
      <formula2>5</formula2>
    </dataValidation>
    <dataValidation type="whole" allowBlank="1" showInputMessage="1" showErrorMessage="1" errorTitle="Prof Error" error="You must enter a valid step level for Professor, between 1 and 9." sqref="E35">
      <formula1>1</formula1>
      <formula2>9</formula2>
    </dataValidation>
    <dataValidation type="decimal" allowBlank="1" showInputMessage="1" showErrorMessage="1" errorTitle="Percent Error" error="You must enter a decimal number between 0 and 1, such as .60 to denote 60% time." sqref="E30">
      <formula1>0</formula1>
      <formula2>1</formula2>
    </dataValidation>
    <dataValidation type="decimal" allowBlank="1" showInputMessage="1" showErrorMessage="1" errorTitle="Target Percent" error="You must enter a valid percentage." sqref="F42:F61">
      <formula1>0</formula1>
      <formula2>1</formula2>
    </dataValidation>
    <dataValidation allowBlank="1" showInputMessage="1" showErrorMessage="1" errorTitle="Scale Validation" error="You must enter the letter &quot;x&quot; to calculate for Instructor." sqref="E32"/>
    <dataValidation allowBlank="1" showInputMessage="1" showErrorMessage="1" error="Please enter a number between 1 and 5 to denote the appropriate salary cap." sqref="G50"/>
    <dataValidation type="whole" allowBlank="1" showInputMessage="1" showErrorMessage="1" error="Please enter a number between 9 and 20 to denote the appropriate salary cap." sqref="A42:A61">
      <formula1>9</formula1>
      <formula2>21</formula2>
    </dataValidation>
  </dataValidations>
  <hyperlinks>
    <hyperlink ref="F25" location="GenlInstr!D9" display="GenlInstr!D9"/>
    <hyperlink ref="A38" location="GenlInstr!B11" display="GenlInstr!B11"/>
    <hyperlink ref="P38" location="GenlInstr!D11" display="GenlInstr!D11"/>
    <hyperlink ref="A63" location="GenlInstr!F11" display="GenlInstr!F11"/>
    <hyperlink ref="L4" location="GenlInstr!F9" display="GenlInstr!F9"/>
    <hyperlink ref="F30" location="GenlInstr!B10" display="GenlInstr!B10"/>
    <hyperlink ref="F31" location="GenlInstr!D10" display="GenlInstr!D10"/>
    <hyperlink ref="F32" location="GenlInstr!F10" display="GenlInstr!F10"/>
    <hyperlink ref="F8" location="GenlInstr!B9" display="GenlInstr!B9"/>
    <hyperlink ref="R23" r:id="rId1"/>
    <hyperlink ref="S23" r:id="rId2" display="http://report.nih.gov/FileLink.aspx?rid=824"/>
    <hyperlink ref="T23" r:id="rId3" display="http://report.nih.gov/FileLink.aspx?rid=824"/>
    <hyperlink ref="U23" r:id="rId4" display="http://report.nih.gov/FileLink.aspx?rid=824"/>
    <hyperlink ref="V23" r:id="rId5" display="http://report.nih.gov/FileLink.aspx?rid=824"/>
    <hyperlink ref="W23" r:id="rId6" display="http://report.nih.gov/FileLink.aspx?rid=824"/>
    <hyperlink ref="R24" r:id="rId7"/>
    <hyperlink ref="W26" r:id="rId8"/>
    <hyperlink ref="Y26" r:id="rId9"/>
  </hyperlinks>
  <pageMargins left="0.2" right="0.2" top="0.25" bottom="0.25" header="0.33" footer="0.5"/>
  <pageSetup scale="65" orientation="landscape" horizontalDpi="4294967292" verticalDpi="4294967292"/>
  <headerFooter>
    <oddFooter>&amp;L&amp;8Printed:  &amp;D @ &amp;T</oddFooter>
  </headerFooter>
  <drawing r:id="rId10"/>
  <legacyDrawing r:id="rId1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enableFormatConditionsCalculation="0">
    <pageSetUpPr fitToPage="1"/>
  </sheetPr>
  <dimension ref="A1:AN101"/>
  <sheetViews>
    <sheetView showGridLines="0" showZeros="0" zoomScale="125" zoomScaleNormal="125" zoomScalePageLayoutView="125" workbookViewId="0">
      <selection activeCell="P26" sqref="P26"/>
    </sheetView>
  </sheetViews>
  <sheetFormatPr baseColWidth="10" defaultColWidth="8.83203125" defaultRowHeight="12" x14ac:dyDescent="0"/>
  <cols>
    <col min="1" max="1" width="4.6640625" style="47" customWidth="1"/>
    <col min="2" max="2" width="8.6640625" customWidth="1"/>
    <col min="3" max="3" width="8.33203125" customWidth="1"/>
    <col min="4" max="4" width="9.5" customWidth="1"/>
    <col min="5" max="5" width="14.6640625" customWidth="1"/>
    <col min="6" max="6" width="9" customWidth="1"/>
    <col min="7" max="7" width="9.33203125" customWidth="1"/>
    <col min="8" max="8" width="15" customWidth="1"/>
    <col min="9" max="10" width="9.5" customWidth="1"/>
    <col min="11" max="11" width="8.6640625" customWidth="1"/>
    <col min="13" max="13" width="9" customWidth="1"/>
    <col min="14" max="14" width="11" customWidth="1"/>
    <col min="15" max="15" width="0.83203125" customWidth="1"/>
    <col min="16" max="16" width="11.1640625" customWidth="1"/>
    <col min="17" max="17" width="8" customWidth="1"/>
    <col min="19" max="20" width="8" customWidth="1"/>
    <col min="21" max="22" width="8" hidden="1" customWidth="1"/>
    <col min="23" max="23" width="9.1640625" hidden="1" customWidth="1"/>
    <col min="24" max="24" width="8.33203125" hidden="1" customWidth="1"/>
    <col min="25" max="25" width="10.5" hidden="1" customWidth="1"/>
    <col min="26" max="27" width="10.33203125" hidden="1" customWidth="1"/>
    <col min="28" max="28" width="9" hidden="1" customWidth="1"/>
    <col min="29" max="29" width="0" hidden="1" customWidth="1"/>
    <col min="37" max="37" width="14.83203125" customWidth="1"/>
    <col min="38" max="38" width="18.33203125" customWidth="1"/>
    <col min="39" max="39" width="22" customWidth="1"/>
    <col min="40" max="40" width="23" customWidth="1"/>
  </cols>
  <sheetData>
    <row r="1" spans="1:40" ht="51" customHeight="1" thickBot="1">
      <c r="A1" s="242"/>
      <c r="B1" s="513" t="s">
        <v>154</v>
      </c>
      <c r="C1" s="243"/>
      <c r="D1" s="243"/>
      <c r="E1" s="243"/>
      <c r="F1" s="243"/>
      <c r="G1" s="243"/>
      <c r="H1" s="243"/>
      <c r="I1" s="243"/>
      <c r="J1" s="243"/>
      <c r="K1" s="243"/>
      <c r="L1" s="243"/>
      <c r="M1" s="243"/>
      <c r="N1" s="243"/>
      <c r="O1" s="55"/>
      <c r="P1" s="244"/>
      <c r="Q1" s="55"/>
      <c r="R1" s="55"/>
      <c r="S1" s="55"/>
      <c r="T1" s="55"/>
      <c r="U1" s="55"/>
      <c r="V1" s="55"/>
      <c r="AF1" s="581" t="s">
        <v>156</v>
      </c>
      <c r="AG1" s="581"/>
      <c r="AH1" s="581"/>
      <c r="AI1" s="581"/>
      <c r="AJ1" s="581"/>
      <c r="AK1" s="581"/>
      <c r="AL1" s="581"/>
      <c r="AM1" s="581"/>
      <c r="AN1" s="581"/>
    </row>
    <row r="2" spans="1:40" ht="26.25" customHeight="1" thickBot="1">
      <c r="D2" s="583" t="s">
        <v>195</v>
      </c>
      <c r="E2" s="583"/>
      <c r="F2" s="583"/>
      <c r="G2" s="583"/>
      <c r="H2" s="583"/>
      <c r="I2" s="583"/>
      <c r="J2" s="583"/>
      <c r="K2" s="583"/>
      <c r="L2" s="583"/>
      <c r="AF2" s="574" t="s">
        <v>157</v>
      </c>
      <c r="AG2" s="575"/>
      <c r="AH2" s="575" t="s">
        <v>158</v>
      </c>
      <c r="AI2" s="575"/>
      <c r="AJ2" s="575"/>
      <c r="AK2" s="575" t="s">
        <v>159</v>
      </c>
      <c r="AL2" s="575" t="s">
        <v>160</v>
      </c>
      <c r="AM2" s="575" t="s">
        <v>185</v>
      </c>
      <c r="AN2" s="621" t="s">
        <v>162</v>
      </c>
    </row>
    <row r="3" spans="1:40" ht="5" customHeight="1" thickTop="1" thickBot="1">
      <c r="A3" s="152"/>
      <c r="B3" s="36"/>
      <c r="C3" s="36"/>
      <c r="D3" s="36"/>
      <c r="E3" s="36"/>
      <c r="F3" s="36"/>
      <c r="G3" s="36"/>
      <c r="H3" s="36"/>
      <c r="I3" s="36"/>
      <c r="J3" s="36"/>
      <c r="K3" s="36"/>
      <c r="L3" s="36"/>
      <c r="M3" s="36"/>
      <c r="N3" s="36"/>
      <c r="O3" s="36"/>
      <c r="P3" s="50"/>
      <c r="Q3" s="35"/>
      <c r="R3" s="35"/>
      <c r="S3" s="35"/>
      <c r="T3" s="35"/>
      <c r="U3" s="35"/>
      <c r="V3" s="35"/>
      <c r="AF3" s="576"/>
      <c r="AG3" s="577"/>
      <c r="AH3" s="577"/>
      <c r="AI3" s="577"/>
      <c r="AJ3" s="577"/>
      <c r="AK3" s="577"/>
      <c r="AL3" s="577"/>
      <c r="AM3" s="577"/>
      <c r="AN3" s="622"/>
    </row>
    <row r="4" spans="1:40" ht="12" customHeight="1">
      <c r="A4" s="64"/>
      <c r="B4" s="212" t="s">
        <v>125</v>
      </c>
      <c r="C4" s="73"/>
      <c r="D4" s="73"/>
      <c r="E4" s="35"/>
      <c r="F4" s="35"/>
      <c r="G4" s="35"/>
      <c r="H4" s="35"/>
      <c r="I4" s="35"/>
      <c r="J4" s="35"/>
      <c r="K4" s="35"/>
      <c r="L4" s="266" t="s">
        <v>81</v>
      </c>
      <c r="M4" s="266"/>
      <c r="N4" s="382" t="s">
        <v>119</v>
      </c>
      <c r="O4" s="378"/>
      <c r="P4" s="380" t="s">
        <v>118</v>
      </c>
      <c r="Q4" s="35"/>
      <c r="R4" s="35"/>
      <c r="S4" s="35"/>
      <c r="T4" s="35"/>
      <c r="U4" s="35"/>
      <c r="V4" s="35"/>
      <c r="AF4" s="578" t="s">
        <v>163</v>
      </c>
      <c r="AG4" s="579"/>
      <c r="AH4" s="623" t="s">
        <v>164</v>
      </c>
      <c r="AI4" s="624"/>
      <c r="AJ4" s="579"/>
      <c r="AK4" s="625" t="s">
        <v>186</v>
      </c>
      <c r="AL4" s="626" t="s">
        <v>165</v>
      </c>
      <c r="AM4" s="626" t="s">
        <v>166</v>
      </c>
      <c r="AN4" s="627" t="s">
        <v>167</v>
      </c>
    </row>
    <row r="5" spans="1:40" ht="12" hidden="1" customHeight="1">
      <c r="A5" s="64"/>
      <c r="B5" s="212"/>
      <c r="H5" s="35"/>
      <c r="I5" s="35"/>
      <c r="J5" s="35"/>
      <c r="K5" s="35"/>
      <c r="L5" s="136"/>
      <c r="M5" s="383"/>
      <c r="N5" s="88"/>
      <c r="O5" s="35"/>
      <c r="P5" s="381"/>
      <c r="Q5" s="35"/>
      <c r="R5" s="35"/>
      <c r="S5" s="35"/>
      <c r="T5" s="35"/>
      <c r="U5" s="35"/>
      <c r="V5" s="35"/>
      <c r="AF5" s="552"/>
      <c r="AG5" s="553"/>
      <c r="AH5" s="560"/>
      <c r="AI5" s="561"/>
      <c r="AJ5" s="553"/>
      <c r="AK5" s="547"/>
      <c r="AL5" s="547"/>
      <c r="AM5" s="547"/>
      <c r="AN5" s="569"/>
    </row>
    <row r="6" spans="1:40" ht="12" hidden="1" customHeight="1">
      <c r="A6" s="64"/>
      <c r="B6" s="31"/>
      <c r="G6" s="159"/>
      <c r="H6" s="159"/>
      <c r="I6" s="53"/>
      <c r="L6" s="413"/>
      <c r="M6" s="383"/>
      <c r="N6" s="88"/>
      <c r="O6" s="35"/>
      <c r="P6" s="414"/>
      <c r="Q6" s="49"/>
      <c r="R6" s="49"/>
      <c r="S6" s="49"/>
      <c r="T6" s="49"/>
      <c r="U6" s="49"/>
      <c r="V6" s="49"/>
      <c r="AF6" s="552"/>
      <c r="AG6" s="553"/>
      <c r="AH6" s="560"/>
      <c r="AI6" s="561"/>
      <c r="AJ6" s="553"/>
      <c r="AK6" s="547"/>
      <c r="AL6" s="547"/>
      <c r="AM6" s="547"/>
      <c r="AN6" s="569"/>
    </row>
    <row r="7" spans="1:40" ht="12.75" customHeight="1">
      <c r="A7" s="64"/>
      <c r="B7" s="31"/>
      <c r="D7" s="641"/>
      <c r="E7" s="642"/>
      <c r="H7" s="159"/>
      <c r="I7" s="53"/>
      <c r="J7" s="35"/>
      <c r="K7" s="35"/>
      <c r="L7" s="413" t="s">
        <v>126</v>
      </c>
      <c r="M7" s="383">
        <v>9</v>
      </c>
      <c r="N7" s="88">
        <v>166700</v>
      </c>
      <c r="O7" s="35"/>
      <c r="P7" s="414">
        <f t="shared" ref="P7:P19" si="0">N7/12</f>
        <v>13891.666666666666</v>
      </c>
      <c r="Q7" s="35"/>
      <c r="R7" s="35"/>
      <c r="S7" s="35"/>
      <c r="T7" s="35"/>
      <c r="U7" s="35"/>
      <c r="V7" s="35"/>
      <c r="X7" s="110" t="s">
        <v>30</v>
      </c>
      <c r="AA7" s="110" t="s">
        <v>39</v>
      </c>
      <c r="AB7" s="127">
        <f>SUM(Z35:AB35)</f>
        <v>0</v>
      </c>
      <c r="AF7" s="552"/>
      <c r="AG7" s="553"/>
      <c r="AH7" s="560"/>
      <c r="AI7" s="561"/>
      <c r="AJ7" s="553"/>
      <c r="AK7" s="547"/>
      <c r="AL7" s="547"/>
      <c r="AM7" s="547"/>
      <c r="AN7" s="569"/>
    </row>
    <row r="8" spans="1:40" ht="12.75" customHeight="1">
      <c r="A8" s="64"/>
      <c r="B8" s="31"/>
      <c r="C8" s="341" t="s">
        <v>113</v>
      </c>
      <c r="D8" s="643"/>
      <c r="E8" s="644"/>
      <c r="F8" s="342" t="s">
        <v>81</v>
      </c>
      <c r="H8" s="159"/>
      <c r="I8" s="53"/>
      <c r="J8" s="35"/>
      <c r="K8" s="35"/>
      <c r="L8" s="413" t="s">
        <v>127</v>
      </c>
      <c r="M8" s="383">
        <v>10</v>
      </c>
      <c r="N8" s="88">
        <v>171900</v>
      </c>
      <c r="O8" s="35"/>
      <c r="P8" s="414">
        <f t="shared" si="0"/>
        <v>14325</v>
      </c>
      <c r="Q8" s="35"/>
      <c r="R8" s="35"/>
      <c r="S8" s="35"/>
      <c r="T8" s="35"/>
      <c r="U8" s="35"/>
      <c r="V8" s="35"/>
      <c r="X8" s="110"/>
      <c r="AA8" s="110"/>
      <c r="AB8" s="127"/>
      <c r="AF8" s="554"/>
      <c r="AG8" s="555"/>
      <c r="AH8" s="562"/>
      <c r="AI8" s="563"/>
      <c r="AJ8" s="555"/>
      <c r="AK8" s="548"/>
      <c r="AL8" s="548"/>
      <c r="AM8" s="548"/>
      <c r="AN8" s="570"/>
    </row>
    <row r="9" spans="1:40" ht="12.75" customHeight="1">
      <c r="A9" s="64"/>
      <c r="B9" s="31"/>
      <c r="D9" s="635"/>
      <c r="E9" s="636"/>
      <c r="F9" s="636"/>
      <c r="G9" s="637"/>
      <c r="H9" s="159"/>
      <c r="I9" s="53"/>
      <c r="J9" s="35"/>
      <c r="K9" s="35"/>
      <c r="L9" s="413" t="s">
        <v>129</v>
      </c>
      <c r="M9" s="383">
        <v>11</v>
      </c>
      <c r="N9" s="88">
        <v>175700</v>
      </c>
      <c r="O9" s="35"/>
      <c r="P9" s="414">
        <f t="shared" si="0"/>
        <v>14641.666666666666</v>
      </c>
      <c r="Q9" s="35"/>
      <c r="R9" s="35"/>
      <c r="S9" s="35"/>
      <c r="T9" s="35"/>
      <c r="U9" s="35"/>
      <c r="V9" s="35"/>
      <c r="X9" s="110"/>
      <c r="AA9" s="110"/>
      <c r="AB9" s="127"/>
      <c r="AF9" s="580" t="s">
        <v>168</v>
      </c>
      <c r="AG9" s="567"/>
      <c r="AH9" s="567" t="s">
        <v>169</v>
      </c>
      <c r="AI9" s="567"/>
      <c r="AJ9" s="567"/>
      <c r="AK9" s="566" t="s">
        <v>187</v>
      </c>
      <c r="AL9" s="567" t="s">
        <v>172</v>
      </c>
      <c r="AM9" s="567" t="s">
        <v>173</v>
      </c>
      <c r="AN9" s="582" t="s">
        <v>167</v>
      </c>
    </row>
    <row r="10" spans="1:40" ht="12.75" customHeight="1">
      <c r="A10" s="64"/>
      <c r="B10" s="31"/>
      <c r="C10" s="136" t="s">
        <v>44</v>
      </c>
      <c r="D10" s="638"/>
      <c r="E10" s="639"/>
      <c r="F10" s="639"/>
      <c r="G10" s="640"/>
      <c r="H10" s="159"/>
      <c r="I10" s="53"/>
      <c r="J10" s="35"/>
      <c r="K10" s="35"/>
      <c r="L10" s="413" t="s">
        <v>131</v>
      </c>
      <c r="M10" s="383">
        <v>12</v>
      </c>
      <c r="N10" s="88">
        <v>180100</v>
      </c>
      <c r="O10" s="35"/>
      <c r="P10" s="414">
        <f t="shared" si="0"/>
        <v>15008.333333333334</v>
      </c>
      <c r="Q10" s="35"/>
      <c r="R10" s="35"/>
      <c r="S10" s="35"/>
      <c r="T10" s="35"/>
      <c r="U10" s="35"/>
      <c r="V10" s="35"/>
      <c r="X10" s="110"/>
      <c r="AA10" s="110"/>
      <c r="AB10" s="127"/>
      <c r="AF10" s="580"/>
      <c r="AG10" s="567"/>
      <c r="AH10" s="567"/>
      <c r="AI10" s="567"/>
      <c r="AJ10" s="567"/>
      <c r="AK10" s="567"/>
      <c r="AL10" s="567"/>
      <c r="AM10" s="567"/>
      <c r="AN10" s="582"/>
    </row>
    <row r="11" spans="1:40" ht="12.75" customHeight="1">
      <c r="A11" s="64"/>
      <c r="B11" s="31"/>
      <c r="D11" s="635"/>
      <c r="E11" s="636"/>
      <c r="F11" s="636"/>
      <c r="G11" s="637"/>
      <c r="H11" s="159"/>
      <c r="I11" s="53"/>
      <c r="J11" s="35"/>
      <c r="K11" s="35"/>
      <c r="L11" s="413" t="s">
        <v>132</v>
      </c>
      <c r="M11" s="383">
        <v>13</v>
      </c>
      <c r="N11" s="88">
        <v>183500</v>
      </c>
      <c r="O11" s="35"/>
      <c r="P11" s="414">
        <f t="shared" si="0"/>
        <v>15291.666666666666</v>
      </c>
      <c r="Q11" s="35"/>
      <c r="R11" s="35"/>
      <c r="S11" s="35"/>
      <c r="T11" s="35"/>
      <c r="U11" s="35"/>
      <c r="V11" s="35"/>
      <c r="X11" s="110"/>
      <c r="AA11" s="110"/>
      <c r="AB11" s="127"/>
      <c r="AF11" s="580"/>
      <c r="AG11" s="567"/>
      <c r="AH11" s="567"/>
      <c r="AI11" s="567"/>
      <c r="AJ11" s="567"/>
      <c r="AK11" s="567"/>
      <c r="AL11" s="567"/>
      <c r="AM11" s="567"/>
      <c r="AN11" s="582"/>
    </row>
    <row r="12" spans="1:40" ht="12.75" customHeight="1">
      <c r="A12" s="64"/>
      <c r="B12" s="31"/>
      <c r="C12" s="136" t="s">
        <v>45</v>
      </c>
      <c r="D12" s="638"/>
      <c r="E12" s="639"/>
      <c r="F12" s="639"/>
      <c r="G12" s="640"/>
      <c r="H12" s="159"/>
      <c r="I12" s="53"/>
      <c r="J12" s="35"/>
      <c r="K12" s="35"/>
      <c r="L12" s="413" t="s">
        <v>133</v>
      </c>
      <c r="M12" s="383">
        <v>14</v>
      </c>
      <c r="N12" s="88">
        <v>186600</v>
      </c>
      <c r="O12" s="35"/>
      <c r="P12" s="414">
        <f t="shared" si="0"/>
        <v>15550</v>
      </c>
      <c r="Q12" s="35"/>
      <c r="R12" s="35"/>
      <c r="S12" s="35"/>
      <c r="T12" s="35"/>
      <c r="U12" s="35"/>
      <c r="V12" s="35"/>
      <c r="X12" s="110"/>
      <c r="AA12" s="110"/>
      <c r="AB12" s="127"/>
      <c r="AF12" s="550" t="s">
        <v>168</v>
      </c>
      <c r="AG12" s="551"/>
      <c r="AH12" s="558" t="s">
        <v>174</v>
      </c>
      <c r="AI12" s="559"/>
      <c r="AJ12" s="551"/>
      <c r="AK12" s="566" t="s">
        <v>187</v>
      </c>
      <c r="AL12" s="546" t="s">
        <v>176</v>
      </c>
      <c r="AM12" s="567" t="s">
        <v>173</v>
      </c>
      <c r="AN12" s="568" t="s">
        <v>167</v>
      </c>
    </row>
    <row r="13" spans="1:40" ht="12" customHeight="1">
      <c r="A13" s="64"/>
      <c r="B13" s="31"/>
      <c r="C13" s="136"/>
      <c r="D13" s="136"/>
      <c r="E13" s="411"/>
      <c r="F13" s="412"/>
      <c r="H13" s="159"/>
      <c r="I13" s="53"/>
      <c r="J13" s="35"/>
      <c r="K13" s="35"/>
      <c r="L13" s="341" t="s">
        <v>140</v>
      </c>
      <c r="M13" s="383">
        <v>15</v>
      </c>
      <c r="N13" s="88">
        <v>200000</v>
      </c>
      <c r="O13" s="35"/>
      <c r="P13" s="414">
        <f t="shared" si="0"/>
        <v>16666.666666666668</v>
      </c>
      <c r="Q13" s="35"/>
      <c r="R13" s="35"/>
      <c r="S13" s="35"/>
      <c r="T13" s="35"/>
      <c r="U13" s="35"/>
      <c r="V13" s="35"/>
      <c r="X13" s="110"/>
      <c r="AA13" s="110"/>
      <c r="AB13" s="127"/>
      <c r="AF13" s="552"/>
      <c r="AG13" s="553"/>
      <c r="AH13" s="560"/>
      <c r="AI13" s="561"/>
      <c r="AJ13" s="553"/>
      <c r="AK13" s="567"/>
      <c r="AL13" s="547"/>
      <c r="AM13" s="567"/>
      <c r="AN13" s="569"/>
    </row>
    <row r="14" spans="1:40">
      <c r="A14" s="64"/>
      <c r="B14" s="31"/>
      <c r="C14" s="136"/>
      <c r="D14" s="136"/>
      <c r="E14" s="411"/>
      <c r="F14" s="412"/>
      <c r="H14" s="159"/>
      <c r="I14" s="53"/>
      <c r="J14" s="35"/>
      <c r="K14" s="35"/>
      <c r="L14" s="341" t="s">
        <v>136</v>
      </c>
      <c r="M14" s="383">
        <v>16</v>
      </c>
      <c r="N14" s="88">
        <v>191300</v>
      </c>
      <c r="O14" s="35"/>
      <c r="P14" s="414">
        <f t="shared" si="0"/>
        <v>15941.666666666666</v>
      </c>
      <c r="Q14" s="35"/>
      <c r="R14" s="35"/>
      <c r="S14" s="35"/>
      <c r="T14" s="35"/>
      <c r="U14" s="35"/>
      <c r="V14" s="35"/>
      <c r="X14" s="110"/>
      <c r="AA14" s="110"/>
      <c r="AB14" s="127"/>
      <c r="AF14" s="554"/>
      <c r="AG14" s="555"/>
      <c r="AH14" s="562"/>
      <c r="AI14" s="563"/>
      <c r="AJ14" s="555"/>
      <c r="AK14" s="567"/>
      <c r="AL14" s="548"/>
      <c r="AM14" s="567"/>
      <c r="AN14" s="570"/>
    </row>
    <row r="15" spans="1:40">
      <c r="A15" s="64"/>
      <c r="B15" s="31"/>
      <c r="C15" s="136"/>
      <c r="D15" s="136"/>
      <c r="E15" s="411"/>
      <c r="F15" s="412"/>
      <c r="H15" s="159"/>
      <c r="I15" s="327"/>
      <c r="J15" s="160"/>
      <c r="K15" s="160"/>
      <c r="L15" s="519" t="s">
        <v>135</v>
      </c>
      <c r="M15" s="516">
        <v>17</v>
      </c>
      <c r="N15" s="517">
        <v>207000</v>
      </c>
      <c r="O15" s="160"/>
      <c r="P15" s="518">
        <f t="shared" si="0"/>
        <v>17250</v>
      </c>
      <c r="Q15" s="35"/>
      <c r="R15" s="35"/>
      <c r="S15" s="35"/>
      <c r="T15" s="35"/>
      <c r="U15" s="35"/>
      <c r="V15" s="35"/>
      <c r="X15" s="110"/>
      <c r="AA15" s="110"/>
      <c r="AB15" s="127"/>
      <c r="AF15" s="550" t="s">
        <v>177</v>
      </c>
      <c r="AG15" s="551"/>
      <c r="AH15" s="558" t="s">
        <v>169</v>
      </c>
      <c r="AI15" s="559"/>
      <c r="AJ15" s="551"/>
      <c r="AK15" s="572" t="s">
        <v>188</v>
      </c>
      <c r="AL15" s="546" t="s">
        <v>178</v>
      </c>
      <c r="AM15" s="546" t="s">
        <v>179</v>
      </c>
      <c r="AN15" s="568" t="s">
        <v>167</v>
      </c>
    </row>
    <row r="16" spans="1:40" ht="12" customHeight="1">
      <c r="A16" s="64"/>
      <c r="B16" s="31"/>
      <c r="C16" s="136"/>
      <c r="D16" s="136"/>
      <c r="E16" s="411"/>
      <c r="F16" s="412"/>
      <c r="H16" s="159"/>
      <c r="I16" s="477"/>
      <c r="J16" s="478"/>
      <c r="K16" s="478"/>
      <c r="L16" s="479" t="s">
        <v>151</v>
      </c>
      <c r="M16" s="480">
        <v>18</v>
      </c>
      <c r="N16" s="481">
        <v>196700</v>
      </c>
      <c r="O16" s="478"/>
      <c r="P16" s="482">
        <f t="shared" si="0"/>
        <v>16391.666666666668</v>
      </c>
      <c r="Q16" s="35"/>
      <c r="R16" s="35"/>
      <c r="S16" s="35"/>
      <c r="T16" s="35"/>
      <c r="U16" s="35"/>
      <c r="V16" s="35"/>
      <c r="X16" s="110"/>
      <c r="AA16" s="110"/>
      <c r="AB16" s="127"/>
      <c r="AF16" s="552"/>
      <c r="AG16" s="553"/>
      <c r="AH16" s="560"/>
      <c r="AI16" s="561"/>
      <c r="AJ16" s="553"/>
      <c r="AK16" s="547"/>
      <c r="AL16" s="547"/>
      <c r="AM16" s="547"/>
      <c r="AN16" s="569"/>
    </row>
    <row r="17" spans="1:40">
      <c r="A17" s="64"/>
      <c r="B17" s="31"/>
      <c r="C17" s="136"/>
      <c r="D17" s="136"/>
      <c r="E17" s="411"/>
      <c r="F17" s="412"/>
      <c r="H17" s="159"/>
      <c r="I17" s="327"/>
      <c r="J17" s="160"/>
      <c r="K17" s="160"/>
      <c r="L17" s="515" t="s">
        <v>139</v>
      </c>
      <c r="M17" s="516">
        <v>19</v>
      </c>
      <c r="N17" s="517">
        <v>199700</v>
      </c>
      <c r="O17" s="160"/>
      <c r="P17" s="518">
        <f t="shared" si="0"/>
        <v>16641.666666666668</v>
      </c>
      <c r="Q17" s="35"/>
      <c r="R17" s="35"/>
      <c r="S17" s="35"/>
      <c r="T17" s="35"/>
      <c r="U17" s="35"/>
      <c r="V17" s="35"/>
      <c r="X17" s="110"/>
      <c r="AA17" s="110"/>
      <c r="AB17" s="127"/>
      <c r="AF17" s="554"/>
      <c r="AG17" s="555"/>
      <c r="AH17" s="562"/>
      <c r="AI17" s="563"/>
      <c r="AJ17" s="555"/>
      <c r="AK17" s="548"/>
      <c r="AL17" s="548"/>
      <c r="AM17" s="548"/>
      <c r="AN17" s="570"/>
    </row>
    <row r="18" spans="1:40">
      <c r="A18" s="64"/>
      <c r="B18" s="31"/>
      <c r="C18" s="136"/>
      <c r="D18" s="136"/>
      <c r="E18" s="411"/>
      <c r="F18" s="412"/>
      <c r="H18" s="159"/>
      <c r="I18" s="203"/>
      <c r="J18" s="466"/>
      <c r="K18" s="466"/>
      <c r="L18" s="514" t="s">
        <v>190</v>
      </c>
      <c r="M18" s="467">
        <v>20</v>
      </c>
      <c r="N18" s="468">
        <v>179700</v>
      </c>
      <c r="O18" s="466"/>
      <c r="P18" s="469">
        <f t="shared" si="0"/>
        <v>14975</v>
      </c>
      <c r="Q18" s="35"/>
      <c r="R18" s="35"/>
      <c r="S18" s="35"/>
      <c r="T18" s="35"/>
      <c r="U18" s="35"/>
      <c r="V18" s="35"/>
      <c r="X18" s="110"/>
      <c r="AA18" s="110"/>
      <c r="AB18" s="127"/>
      <c r="AF18" s="550" t="s">
        <v>177</v>
      </c>
      <c r="AG18" s="551"/>
      <c r="AH18" s="558" t="s">
        <v>174</v>
      </c>
      <c r="AI18" s="559"/>
      <c r="AJ18" s="551"/>
      <c r="AK18" s="572" t="s">
        <v>188</v>
      </c>
      <c r="AL18" s="546" t="s">
        <v>176</v>
      </c>
      <c r="AM18" s="546" t="s">
        <v>179</v>
      </c>
      <c r="AN18" s="568" t="s">
        <v>167</v>
      </c>
    </row>
    <row r="19" spans="1:40">
      <c r="A19" s="64"/>
      <c r="B19" s="31"/>
      <c r="C19" s="136"/>
      <c r="D19" s="136"/>
      <c r="E19" s="411"/>
      <c r="F19" s="412"/>
      <c r="H19" s="159"/>
      <c r="I19" s="203"/>
      <c r="J19" s="466"/>
      <c r="K19" s="466"/>
      <c r="L19" s="514" t="s">
        <v>194</v>
      </c>
      <c r="M19" s="467">
        <v>21</v>
      </c>
      <c r="N19" s="468">
        <v>221000</v>
      </c>
      <c r="O19" s="466"/>
      <c r="P19" s="469">
        <f t="shared" si="0"/>
        <v>18416.666666666668</v>
      </c>
      <c r="Q19" s="35"/>
      <c r="R19" s="35"/>
      <c r="S19" s="35"/>
      <c r="T19" s="35"/>
      <c r="U19" s="35"/>
      <c r="V19" s="35"/>
      <c r="X19" s="110"/>
      <c r="AA19" s="110"/>
      <c r="AB19" s="127"/>
      <c r="AF19" s="552"/>
      <c r="AG19" s="553"/>
      <c r="AH19" s="560"/>
      <c r="AI19" s="561"/>
      <c r="AJ19" s="553"/>
      <c r="AK19" s="573"/>
      <c r="AL19" s="547"/>
      <c r="AM19" s="547"/>
      <c r="AN19" s="569"/>
    </row>
    <row r="20" spans="1:40" ht="12.75" customHeight="1">
      <c r="A20" s="64"/>
      <c r="B20" s="31"/>
      <c r="C20" s="136"/>
      <c r="D20" s="629"/>
      <c r="E20" s="630"/>
      <c r="F20" s="631"/>
      <c r="H20" s="159"/>
      <c r="I20" s="53"/>
      <c r="J20" s="35"/>
      <c r="K20" s="35"/>
      <c r="L20" s="341"/>
      <c r="M20" s="383"/>
      <c r="N20" s="88"/>
      <c r="O20" s="35"/>
      <c r="P20" s="414"/>
      <c r="Q20" s="35"/>
      <c r="R20" s="35"/>
      <c r="S20" s="35"/>
      <c r="T20" s="35"/>
      <c r="U20" s="35"/>
      <c r="V20" s="35"/>
      <c r="X20" s="110"/>
      <c r="AA20" s="110"/>
      <c r="AB20" s="127"/>
      <c r="AF20" s="552"/>
      <c r="AG20" s="553"/>
      <c r="AH20" s="560"/>
      <c r="AI20" s="561"/>
      <c r="AJ20" s="553"/>
      <c r="AK20" s="547"/>
      <c r="AL20" s="547"/>
      <c r="AM20" s="547"/>
      <c r="AN20" s="569"/>
    </row>
    <row r="21" spans="1:40" ht="12.75" customHeight="1" thickBot="1">
      <c r="A21" s="64"/>
      <c r="B21" s="31"/>
      <c r="C21" s="136" t="s">
        <v>80</v>
      </c>
      <c r="D21" s="632"/>
      <c r="E21" s="633"/>
      <c r="F21" s="634"/>
      <c r="H21" s="160"/>
      <c r="I21" s="35"/>
      <c r="J21" s="35"/>
      <c r="K21" s="35"/>
      <c r="L21" s="72"/>
      <c r="M21" s="136" t="s">
        <v>70</v>
      </c>
      <c r="N21" s="132" t="str">
        <f>IF(OR(N32&gt;Fed_Limit,N33&gt;Fed_Limit,N34&gt;Fed_Limit,N35&gt;Fed_Limit),"Yes","No")</f>
        <v>No</v>
      </c>
      <c r="O21" s="132"/>
      <c r="P21" s="80"/>
      <c r="Q21" s="132"/>
      <c r="R21" s="132"/>
      <c r="S21" s="132"/>
      <c r="T21" s="132"/>
      <c r="U21" s="132"/>
      <c r="V21" s="132"/>
      <c r="X21" s="593" t="s">
        <v>36</v>
      </c>
      <c r="Y21" s="595"/>
      <c r="Z21" s="593" t="s">
        <v>34</v>
      </c>
      <c r="AA21" s="594"/>
      <c r="AB21" s="595"/>
      <c r="AF21" s="556"/>
      <c r="AG21" s="557"/>
      <c r="AH21" s="564"/>
      <c r="AI21" s="565"/>
      <c r="AJ21" s="557"/>
      <c r="AK21" s="549"/>
      <c r="AL21" s="549"/>
      <c r="AM21" s="549"/>
      <c r="AN21" s="571"/>
    </row>
    <row r="22" spans="1:40" ht="4.5" customHeight="1" thickBot="1">
      <c r="A22" s="153"/>
      <c r="B22" s="37"/>
      <c r="C22" s="37"/>
      <c r="D22" s="37"/>
      <c r="E22" s="37"/>
      <c r="F22" s="37"/>
      <c r="G22" s="37"/>
      <c r="H22" s="37"/>
      <c r="I22" s="37"/>
      <c r="J22" s="37"/>
      <c r="K22" s="37"/>
      <c r="L22" s="37"/>
      <c r="M22" s="37"/>
      <c r="N22" s="37"/>
      <c r="O22" s="37"/>
      <c r="P22" s="52"/>
      <c r="Q22" s="35"/>
      <c r="R22" s="35"/>
      <c r="S22" s="35"/>
      <c r="T22" s="35"/>
      <c r="U22" s="35"/>
      <c r="V22" s="35"/>
      <c r="X22" s="123"/>
      <c r="Y22" s="103"/>
      <c r="Z22" s="102"/>
      <c r="AA22" s="102"/>
      <c r="AB22" s="103"/>
      <c r="AF22" s="35"/>
      <c r="AG22" s="35"/>
      <c r="AH22" s="35"/>
      <c r="AI22" s="35"/>
      <c r="AJ22" s="35"/>
      <c r="AK22" s="35"/>
      <c r="AL22" s="35"/>
      <c r="AM22" s="35"/>
      <c r="AN22" s="35"/>
    </row>
    <row r="23" spans="1:40" ht="17.25" customHeight="1" thickTop="1">
      <c r="A23" s="215"/>
      <c r="B23" s="216" t="s">
        <v>79</v>
      </c>
      <c r="C23" s="36"/>
      <c r="D23" s="36"/>
      <c r="E23" s="36"/>
      <c r="F23" s="36"/>
      <c r="G23" s="36"/>
      <c r="H23" s="36"/>
      <c r="I23" s="36"/>
      <c r="J23" s="36"/>
      <c r="K23" s="36"/>
      <c r="L23" s="36"/>
      <c r="M23" s="36"/>
      <c r="N23" s="51"/>
      <c r="O23" s="35"/>
      <c r="P23" s="35"/>
      <c r="Q23" s="35"/>
      <c r="R23" s="35"/>
      <c r="S23" s="35"/>
      <c r="T23" s="35"/>
      <c r="U23" s="35"/>
      <c r="V23" s="35"/>
      <c r="X23" s="123"/>
      <c r="Y23" s="103"/>
      <c r="Z23" s="102"/>
      <c r="AA23" s="102"/>
      <c r="AB23" s="103"/>
      <c r="AF23" s="542" t="s">
        <v>180</v>
      </c>
      <c r="AG23" s="542"/>
      <c r="AH23" s="542"/>
      <c r="AI23" s="542"/>
      <c r="AJ23" s="542"/>
      <c r="AK23" s="542"/>
      <c r="AL23" s="543"/>
      <c r="AM23" s="543"/>
      <c r="AN23" s="543"/>
    </row>
    <row r="24" spans="1:40" ht="14.25" customHeight="1">
      <c r="A24" s="257"/>
      <c r="B24" s="35"/>
      <c r="D24" s="56" t="s">
        <v>65</v>
      </c>
      <c r="E24" s="35"/>
      <c r="F24" s="35"/>
      <c r="G24" s="35"/>
      <c r="H24" s="35"/>
      <c r="I24" s="35"/>
      <c r="J24" s="35"/>
      <c r="K24" s="35"/>
      <c r="L24" s="35"/>
      <c r="M24" s="35"/>
      <c r="N24" s="51"/>
      <c r="O24" s="35"/>
      <c r="P24" s="35"/>
      <c r="Q24" s="35"/>
      <c r="R24" s="35"/>
      <c r="S24" s="35"/>
      <c r="T24" s="35"/>
      <c r="U24" s="35"/>
      <c r="V24" s="35"/>
      <c r="X24" s="123"/>
      <c r="Y24" s="103"/>
      <c r="Z24" s="102"/>
      <c r="AA24" s="102"/>
      <c r="AB24" s="103"/>
      <c r="AF24" s="544" t="s">
        <v>181</v>
      </c>
      <c r="AG24" s="544"/>
      <c r="AH24" s="544"/>
      <c r="AI24" s="544"/>
      <c r="AJ24" s="544"/>
      <c r="AK24" s="544"/>
      <c r="AL24" s="544"/>
      <c r="AM24" s="544"/>
      <c r="AN24" s="544"/>
    </row>
    <row r="25" spans="1:40" ht="14.25" customHeight="1">
      <c r="A25" s="64"/>
      <c r="B25" s="434"/>
      <c r="D25" s="56"/>
      <c r="E25" s="421"/>
      <c r="F25" s="330" t="s">
        <v>81</v>
      </c>
      <c r="G25" s="136" t="s">
        <v>0</v>
      </c>
      <c r="H25" s="416">
        <f>IF(ISERROR(IF(E28="",E25/J36,E28)),0,IF(E28="",E25/J36,E28))</f>
        <v>0</v>
      </c>
      <c r="I25" s="35"/>
      <c r="J25" s="35"/>
      <c r="K25" s="35"/>
      <c r="L25" s="35"/>
      <c r="M25" s="35"/>
      <c r="N25" s="51"/>
      <c r="O25" s="35"/>
      <c r="P25" s="35"/>
      <c r="Q25" s="35"/>
      <c r="R25" s="35"/>
      <c r="S25" s="35"/>
      <c r="T25" s="35"/>
      <c r="U25" s="35"/>
      <c r="V25" s="35"/>
      <c r="X25" s="123"/>
      <c r="Y25" s="103"/>
      <c r="Z25" s="102"/>
      <c r="AA25" s="102"/>
      <c r="AB25" s="103"/>
      <c r="AF25" s="545" t="s">
        <v>182</v>
      </c>
      <c r="AG25" s="545"/>
      <c r="AH25" s="545"/>
      <c r="AI25" s="545"/>
      <c r="AJ25" s="545"/>
      <c r="AK25" s="545"/>
      <c r="AL25" s="545"/>
      <c r="AM25" s="545"/>
      <c r="AN25" s="545"/>
    </row>
    <row r="26" spans="1:40" ht="14.25" customHeight="1">
      <c r="A26" s="257"/>
      <c r="B26" s="258"/>
      <c r="D26" s="35"/>
      <c r="E26" s="35"/>
      <c r="F26" s="35"/>
      <c r="H26" s="35"/>
      <c r="I26" s="35"/>
      <c r="J26" s="35"/>
      <c r="K26" s="35"/>
      <c r="L26" s="35"/>
      <c r="M26" s="35"/>
      <c r="N26" s="51"/>
      <c r="O26" s="35"/>
      <c r="P26" s="35"/>
      <c r="Q26" s="35"/>
      <c r="R26" s="35"/>
      <c r="S26" s="35"/>
      <c r="T26" s="35"/>
      <c r="U26" s="35"/>
      <c r="V26" s="35"/>
      <c r="X26" s="123"/>
      <c r="Y26" s="103"/>
      <c r="Z26" s="102"/>
      <c r="AA26" s="102"/>
      <c r="AB26" s="103"/>
      <c r="AF26" s="35"/>
      <c r="AG26" s="35"/>
      <c r="AH26" s="49"/>
      <c r="AI26" s="35"/>
      <c r="AJ26" s="136" t="s">
        <v>189</v>
      </c>
      <c r="AK26" s="539" t="s">
        <v>183</v>
      </c>
      <c r="AL26" s="35"/>
      <c r="AM26" s="263" t="s">
        <v>184</v>
      </c>
      <c r="AN26" s="35"/>
    </row>
    <row r="27" spans="1:40" ht="13.5" customHeight="1">
      <c r="A27" s="256"/>
      <c r="B27" s="35"/>
      <c r="D27" s="35" t="s">
        <v>66</v>
      </c>
      <c r="E27" s="35"/>
      <c r="F27" s="35"/>
      <c r="G27" s="136" t="s">
        <v>74</v>
      </c>
      <c r="H27" s="35"/>
      <c r="I27" s="35"/>
      <c r="J27" s="35"/>
      <c r="K27" s="35"/>
      <c r="L27" s="35"/>
      <c r="M27" s="35"/>
      <c r="N27" s="51"/>
      <c r="O27" s="35"/>
      <c r="P27" s="35"/>
      <c r="Q27" s="35"/>
      <c r="R27" s="35"/>
      <c r="S27" s="35"/>
      <c r="T27" s="35"/>
      <c r="U27" s="35"/>
      <c r="V27" s="35"/>
      <c r="X27" s="123"/>
      <c r="Y27" s="103"/>
      <c r="Z27" s="102"/>
      <c r="AA27" s="102"/>
      <c r="AB27" s="103"/>
    </row>
    <row r="28" spans="1:40" ht="13.5" customHeight="1">
      <c r="A28" s="64"/>
      <c r="B28" s="35"/>
      <c r="D28" s="35"/>
      <c r="E28" s="422"/>
      <c r="F28" s="213"/>
      <c r="H28" s="247">
        <f>IF(ISERROR(IF(E25="",E28*J36,E25)),0,IF(E25="",E28*J36,E25))</f>
        <v>0</v>
      </c>
      <c r="I28" s="35"/>
      <c r="J28" s="35"/>
      <c r="K28" s="35"/>
      <c r="L28" s="35"/>
      <c r="M28" s="35"/>
      <c r="N28" s="51"/>
      <c r="O28" s="35"/>
      <c r="P28" s="35"/>
      <c r="Q28" s="35"/>
      <c r="R28" s="35"/>
      <c r="S28" s="35"/>
      <c r="T28" s="35"/>
      <c r="U28" s="35"/>
      <c r="V28" s="35"/>
      <c r="X28" s="123"/>
      <c r="Y28" s="103"/>
      <c r="Z28" s="102"/>
      <c r="AA28" s="102"/>
      <c r="AB28" s="103"/>
    </row>
    <row r="29" spans="1:40" ht="13" thickBot="1">
      <c r="A29" s="153"/>
      <c r="B29" s="217"/>
      <c r="C29" s="217"/>
      <c r="D29" s="217"/>
      <c r="E29" s="246"/>
      <c r="F29" s="37"/>
      <c r="G29" s="37"/>
      <c r="H29" s="37"/>
      <c r="I29" s="37"/>
      <c r="J29" s="37"/>
      <c r="K29" s="37"/>
      <c r="L29" s="37"/>
      <c r="M29" s="37"/>
      <c r="N29" s="52"/>
      <c r="X29" s="124" t="s">
        <v>32</v>
      </c>
      <c r="Y29" s="104" t="s">
        <v>37</v>
      </c>
      <c r="Z29" s="120" t="s">
        <v>38</v>
      </c>
      <c r="AA29" s="122" t="s">
        <v>35</v>
      </c>
      <c r="AB29" s="121" t="s">
        <v>33</v>
      </c>
    </row>
    <row r="30" spans="1:40" ht="13" thickTop="1">
      <c r="A30" s="64"/>
      <c r="B30" s="35"/>
      <c r="D30" s="146" t="s">
        <v>43</v>
      </c>
      <c r="E30" s="423"/>
      <c r="F30" s="262" t="s">
        <v>81</v>
      </c>
      <c r="G30" s="161"/>
      <c r="H30" s="161"/>
      <c r="I30" s="276"/>
      <c r="J30" s="141" t="s">
        <v>42</v>
      </c>
      <c r="K30" s="93"/>
      <c r="L30" s="93"/>
      <c r="M30" s="93"/>
      <c r="N30" s="142"/>
      <c r="O30" s="86" t="s">
        <v>40</v>
      </c>
      <c r="P30" s="86"/>
      <c r="Q30" s="86"/>
      <c r="R30" s="86"/>
      <c r="S30" s="86"/>
      <c r="T30" s="86"/>
      <c r="U30" s="86"/>
      <c r="V30" s="86"/>
      <c r="X30" s="113" t="s">
        <v>8</v>
      </c>
      <c r="Y30" s="106">
        <f t="array" ref="Y30">SUM(IF($A$41:$A$61&lt;&gt;"x",$J$41:$J$61,0))</f>
        <v>0</v>
      </c>
      <c r="Z30" s="248">
        <f>Y30*$N$35</f>
        <v>0</v>
      </c>
      <c r="AA30" s="248">
        <f>AA83*Fed_Limit</f>
        <v>0</v>
      </c>
      <c r="AB30" s="84">
        <f>AB83*12</f>
        <v>0</v>
      </c>
    </row>
    <row r="31" spans="1:40" ht="13">
      <c r="A31" s="64"/>
      <c r="B31" s="35"/>
      <c r="D31" s="136" t="s">
        <v>1</v>
      </c>
      <c r="E31" s="424"/>
      <c r="F31" s="262" t="s">
        <v>81</v>
      </c>
      <c r="H31" s="162"/>
      <c r="I31" s="56"/>
      <c r="J31" s="471" t="s">
        <v>141</v>
      </c>
      <c r="K31" s="57" t="s">
        <v>3</v>
      </c>
      <c r="L31" s="57" t="s">
        <v>4</v>
      </c>
      <c r="M31" s="57" t="s">
        <v>5</v>
      </c>
      <c r="N31" s="58" t="s">
        <v>6</v>
      </c>
      <c r="O31" s="132"/>
      <c r="P31" s="132"/>
      <c r="Q31" s="132"/>
      <c r="R31" s="132"/>
      <c r="S31" s="132"/>
      <c r="T31" s="132"/>
      <c r="U31" s="132"/>
      <c r="V31" s="132"/>
      <c r="X31" s="114" t="s">
        <v>3</v>
      </c>
      <c r="Y31" s="107">
        <f t="array" ref="Y31">SUM(IF($A$41:$A$61&lt;&gt;"x",$K$41:$K$61,0))</f>
        <v>0</v>
      </c>
      <c r="Z31" s="249">
        <f>Y31*$N$35</f>
        <v>0</v>
      </c>
      <c r="AA31" s="249">
        <f>AA84*Fed_Limit</f>
        <v>0</v>
      </c>
      <c r="AB31" s="99">
        <f>AB84*12</f>
        <v>0</v>
      </c>
    </row>
    <row r="32" spans="1:40">
      <c r="A32" s="282"/>
      <c r="B32" s="56"/>
      <c r="D32" s="136" t="s">
        <v>86</v>
      </c>
      <c r="E32" s="425"/>
      <c r="F32" s="262" t="s">
        <v>81</v>
      </c>
      <c r="H32" s="162" t="s">
        <v>84</v>
      </c>
      <c r="I32" s="56"/>
      <c r="J32" s="432"/>
      <c r="K32" s="39">
        <f>SUM(Instr_Tot_HST_off)</f>
        <v>0</v>
      </c>
      <c r="L32" s="39">
        <f>IF(Scale_Off&gt;=4,SUM(Instr_Tot_HSR_off),0)</f>
        <v>0</v>
      </c>
      <c r="M32" s="39">
        <f>((N32-(Instr_base_Off+SUM(Instr_Tot_HST_off)+SUM(Instr_Tot_HSR_off))))</f>
        <v>0</v>
      </c>
      <c r="N32" s="240">
        <f>J32*H25</f>
        <v>0</v>
      </c>
      <c r="O32" s="132"/>
      <c r="P32" s="132"/>
      <c r="Q32" s="132"/>
      <c r="R32" s="132"/>
      <c r="S32" s="132"/>
      <c r="T32" s="132"/>
      <c r="U32" s="132"/>
      <c r="V32" s="132"/>
      <c r="X32" s="114"/>
      <c r="Y32" s="107"/>
      <c r="Z32" s="249"/>
      <c r="AA32" s="249"/>
      <c r="AB32" s="99"/>
    </row>
    <row r="33" spans="1:29">
      <c r="A33" s="64"/>
      <c r="B33" s="35"/>
      <c r="D33" s="136" t="s">
        <v>67</v>
      </c>
      <c r="E33" s="425"/>
      <c r="F33" s="162"/>
      <c r="G33" s="162"/>
      <c r="H33" s="254" t="s">
        <v>76</v>
      </c>
      <c r="I33" s="56"/>
      <c r="J33" s="418"/>
      <c r="K33" s="39">
        <f>SUM(Asst_Tot_HST_Off)</f>
        <v>0</v>
      </c>
      <c r="L33" s="39">
        <f>IF(Scale_Off&gt;=4,SUM(Asst_Tot_HSR_Off),0)</f>
        <v>0</v>
      </c>
      <c r="M33" s="39">
        <f>((N33-(Asst_base_Off+SUM(Asst_Tot_HST_Off)+SUM(Asst_Tot_HSR_Off))))</f>
        <v>0</v>
      </c>
      <c r="N33" s="240">
        <f>J33*H25</f>
        <v>0</v>
      </c>
      <c r="O33" s="49"/>
      <c r="P33" s="49"/>
      <c r="Q33" s="165"/>
      <c r="R33" s="154"/>
      <c r="S33" s="49"/>
      <c r="T33" s="49"/>
      <c r="U33" s="49"/>
      <c r="V33" s="49"/>
      <c r="X33" s="114" t="s">
        <v>4</v>
      </c>
      <c r="Y33" s="107">
        <f t="array" ref="Y33">SUM(IF($A$41:$A$61&lt;&gt;"x",$L$41:$L$61,0))</f>
        <v>0</v>
      </c>
      <c r="Z33" s="249">
        <f>Y33*$N$35</f>
        <v>0</v>
      </c>
      <c r="AA33" s="249">
        <f>AA85*Fed_Limit</f>
        <v>0</v>
      </c>
      <c r="AB33" s="99">
        <f>AB85*12</f>
        <v>0</v>
      </c>
    </row>
    <row r="34" spans="1:29">
      <c r="A34" s="64"/>
      <c r="B34" s="35"/>
      <c r="D34" s="136" t="s">
        <v>68</v>
      </c>
      <c r="E34" s="425"/>
      <c r="F34" s="162"/>
      <c r="G34" s="162"/>
      <c r="H34" s="254" t="s">
        <v>77</v>
      </c>
      <c r="I34" s="56"/>
      <c r="J34" s="418"/>
      <c r="K34" s="39">
        <f>SUM(Assoc_Tot_HST_Off)</f>
        <v>0</v>
      </c>
      <c r="L34" s="39">
        <f>IF(Scale_Off&gt;=4,SUM(Assoc_Tot_HSR_Off),0)</f>
        <v>0</v>
      </c>
      <c r="M34" s="39">
        <f>(N34-(Assoc_base_Off+SUM(Assoc_Tot_HST_Off)+SUM(Assoc_Tot_HSR_Off)))</f>
        <v>0</v>
      </c>
      <c r="N34" s="240">
        <f>J34*H25</f>
        <v>0</v>
      </c>
      <c r="O34" s="49"/>
      <c r="P34" s="49"/>
      <c r="Q34" s="49"/>
      <c r="R34" s="49"/>
      <c r="S34" s="49"/>
      <c r="T34" s="49"/>
      <c r="U34" s="49"/>
      <c r="V34" s="49"/>
      <c r="X34" s="115" t="s">
        <v>5</v>
      </c>
      <c r="Y34" s="108">
        <f t="array" ref="Y34">SUM(IF($A$41:$A$61&lt;&gt;"x",$M$41:$M$61,0))</f>
        <v>0</v>
      </c>
      <c r="Z34" s="250">
        <f>Y34*$N$35</f>
        <v>0</v>
      </c>
      <c r="AA34" s="250">
        <f>AA86*Fed_Limit</f>
        <v>0</v>
      </c>
      <c r="AB34" s="101">
        <f>AB86*12</f>
        <v>0</v>
      </c>
    </row>
    <row r="35" spans="1:29" ht="13" thickBot="1">
      <c r="A35" s="153"/>
      <c r="B35" s="37"/>
      <c r="C35" s="37"/>
      <c r="D35" s="164" t="s">
        <v>69</v>
      </c>
      <c r="E35" s="426"/>
      <c r="F35" s="163"/>
      <c r="G35" s="163"/>
      <c r="H35" s="255" t="s">
        <v>78</v>
      </c>
      <c r="I35" s="251"/>
      <c r="J35" s="433"/>
      <c r="K35" s="48">
        <f>SUM(Prof_Tot_HST_Off)</f>
        <v>0</v>
      </c>
      <c r="L35" s="48">
        <f>IF(Scale_Off&gt;=4,SUM(Prof_Tot_HSR_Off),0)</f>
        <v>0</v>
      </c>
      <c r="M35" s="41">
        <f>(N35-(Prof_base_Off+SUM(Prof_Tot_HST_Off)+SUM(Prof_Tot_HSR_Off)))</f>
        <v>0</v>
      </c>
      <c r="N35" s="219">
        <f>J35*H25</f>
        <v>0</v>
      </c>
      <c r="O35" s="130"/>
      <c r="P35" s="130"/>
      <c r="Q35" s="130"/>
      <c r="R35" s="130"/>
      <c r="S35" s="130"/>
      <c r="T35" s="130"/>
      <c r="U35" s="130"/>
      <c r="V35" s="130"/>
      <c r="X35" s="125" t="s">
        <v>6</v>
      </c>
      <c r="Y35" s="126">
        <f>SUM(Y30:Y34)</f>
        <v>0</v>
      </c>
      <c r="Z35" s="119">
        <f>SUM(Z30:Z34)</f>
        <v>0</v>
      </c>
      <c r="AA35" s="119">
        <f>SUM(AA30:AA34)</f>
        <v>0</v>
      </c>
      <c r="AB35" s="105">
        <f>SUM(AB30:AB34)</f>
        <v>0</v>
      </c>
    </row>
    <row r="36" spans="1:29" ht="13" thickTop="1">
      <c r="C36" s="35"/>
      <c r="D36" s="35"/>
      <c r="E36" s="35"/>
      <c r="F36" s="35"/>
      <c r="G36" s="35"/>
      <c r="H36" s="81"/>
      <c r="I36" s="237" t="s">
        <v>71</v>
      </c>
      <c r="J36" s="238">
        <f>SUM(J32:J35)</f>
        <v>0</v>
      </c>
      <c r="K36" s="238">
        <f>SUM(K32:K35)</f>
        <v>0</v>
      </c>
      <c r="L36" s="238">
        <f>SUM(L32:L35)</f>
        <v>0</v>
      </c>
      <c r="M36" s="238">
        <f>SUM(M32:M35)</f>
        <v>0</v>
      </c>
      <c r="N36" s="238">
        <f>SUM(N32:N35)</f>
        <v>0</v>
      </c>
      <c r="O36" s="49"/>
      <c r="P36" s="49"/>
      <c r="Q36" s="49"/>
      <c r="R36" s="49"/>
      <c r="S36" s="49"/>
      <c r="T36" s="49"/>
      <c r="U36" s="49"/>
      <c r="V36" s="49"/>
      <c r="X36" s="8" t="s">
        <v>6</v>
      </c>
      <c r="Y36" s="109"/>
      <c r="Z36" s="100"/>
      <c r="AA36" s="101"/>
      <c r="AB36" s="105"/>
    </row>
    <row r="37" spans="1:29">
      <c r="B37" s="264"/>
      <c r="C37" s="35"/>
      <c r="D37" s="35"/>
      <c r="E37" s="35"/>
      <c r="F37" s="35"/>
      <c r="G37" s="35"/>
      <c r="H37" s="62"/>
      <c r="I37" s="236" t="s">
        <v>72</v>
      </c>
      <c r="J37" s="239">
        <f>J36/12</f>
        <v>0</v>
      </c>
      <c r="K37" s="239">
        <f>K36/12</f>
        <v>0</v>
      </c>
      <c r="L37" s="239">
        <f>L36/12</f>
        <v>0</v>
      </c>
      <c r="M37" s="239">
        <f>M36/12</f>
        <v>0</v>
      </c>
      <c r="N37" s="239">
        <f>N36/12</f>
        <v>0</v>
      </c>
      <c r="O37" s="253"/>
      <c r="P37" s="253"/>
      <c r="Q37" s="253"/>
      <c r="R37" s="253"/>
      <c r="S37" s="253"/>
      <c r="T37" s="253"/>
      <c r="U37" s="253"/>
      <c r="V37" s="253"/>
      <c r="X37" s="35"/>
      <c r="Y37" s="49"/>
      <c r="Z37" s="49"/>
      <c r="AA37" s="49"/>
      <c r="AB37" s="130"/>
    </row>
    <row r="38" spans="1:29" ht="13" thickBot="1">
      <c r="A38" s="263" t="s">
        <v>81</v>
      </c>
      <c r="G38" s="377"/>
      <c r="I38" s="375" t="s">
        <v>117</v>
      </c>
      <c r="J38" s="376">
        <f>ROUND(IF(N36&gt;0,J36/N36*E30,0),4)</f>
        <v>0</v>
      </c>
      <c r="K38" s="376">
        <f>ROUND(IF(N36&gt;0,K36/N36*E30,0),4)</f>
        <v>0</v>
      </c>
      <c r="L38" s="376">
        <f>ROUND(IF(N36&gt;0,L36/N36*E30,0),4)</f>
        <v>0</v>
      </c>
      <c r="M38" s="376">
        <f>SUM(N38-L38-K38-J38)</f>
        <v>0</v>
      </c>
      <c r="N38" s="376">
        <f>E30</f>
        <v>0</v>
      </c>
      <c r="P38" s="263" t="s">
        <v>81</v>
      </c>
      <c r="Q38" s="137"/>
      <c r="R38" s="137"/>
      <c r="S38" s="137"/>
      <c r="T38" s="137"/>
      <c r="U38" s="137"/>
      <c r="V38" s="137"/>
      <c r="AC38" s="54"/>
    </row>
    <row r="39" spans="1:29">
      <c r="A39" s="245" t="s">
        <v>49</v>
      </c>
      <c r="B39" s="166"/>
      <c r="C39" s="144"/>
      <c r="D39" s="147"/>
      <c r="E39" s="145"/>
      <c r="F39" s="10"/>
      <c r="G39" s="10"/>
      <c r="H39" s="10"/>
      <c r="I39" s="11"/>
      <c r="J39" s="147" t="s">
        <v>7</v>
      </c>
      <c r="K39" s="10"/>
      <c r="L39" s="10"/>
      <c r="M39" s="11"/>
      <c r="N39" s="20"/>
      <c r="O39" s="35"/>
      <c r="P39" s="362" t="s">
        <v>87</v>
      </c>
      <c r="Q39" s="10"/>
      <c r="R39" s="10"/>
      <c r="S39" s="10"/>
      <c r="T39" s="11" t="s">
        <v>40</v>
      </c>
      <c r="U39" s="93"/>
      <c r="V39" s="93"/>
      <c r="W39" s="13" t="s">
        <v>40</v>
      </c>
      <c r="X39" s="4" t="s">
        <v>40</v>
      </c>
      <c r="Y39" s="6"/>
      <c r="Z39" s="6"/>
      <c r="AA39" s="6"/>
      <c r="AB39" s="5"/>
    </row>
    <row r="40" spans="1:29" ht="40.5" customHeight="1" thickBot="1">
      <c r="A40" s="230" t="s">
        <v>46</v>
      </c>
      <c r="B40" s="231" t="s">
        <v>152</v>
      </c>
      <c r="C40" s="232" t="s">
        <v>51</v>
      </c>
      <c r="D40" s="232" t="s">
        <v>130</v>
      </c>
      <c r="E40" s="233" t="s">
        <v>50</v>
      </c>
      <c r="F40" s="234" t="s">
        <v>47</v>
      </c>
      <c r="G40" s="234" t="s">
        <v>89</v>
      </c>
      <c r="H40" s="234" t="s">
        <v>88</v>
      </c>
      <c r="I40" s="235" t="s">
        <v>48</v>
      </c>
      <c r="J40" s="472" t="s">
        <v>142</v>
      </c>
      <c r="K40" s="59" t="s">
        <v>3</v>
      </c>
      <c r="L40" s="59" t="s">
        <v>4</v>
      </c>
      <c r="M40" s="60" t="s">
        <v>5</v>
      </c>
      <c r="N40" s="227" t="s">
        <v>9</v>
      </c>
      <c r="O40" s="133" t="s">
        <v>40</v>
      </c>
      <c r="P40" s="473" t="s">
        <v>143</v>
      </c>
      <c r="Q40" s="59" t="s">
        <v>16</v>
      </c>
      <c r="R40" s="59" t="s">
        <v>41</v>
      </c>
      <c r="S40" s="283" t="s">
        <v>17</v>
      </c>
      <c r="T40" s="286" t="s">
        <v>6</v>
      </c>
      <c r="U40" s="133"/>
      <c r="V40" s="133"/>
      <c r="Y40" s="4" t="s">
        <v>11</v>
      </c>
      <c r="Z40" s="6"/>
      <c r="AA40" s="6"/>
      <c r="AB40" s="5"/>
    </row>
    <row r="41" spans="1:29" ht="2.25" customHeight="1" thickBot="1">
      <c r="A41" s="169"/>
      <c r="B41" s="17"/>
      <c r="C41" s="35"/>
      <c r="D41" s="35"/>
      <c r="E41" s="35"/>
      <c r="F41" s="35"/>
      <c r="G41" s="35"/>
      <c r="H41" s="35"/>
      <c r="I41" s="149"/>
      <c r="J41" s="172"/>
      <c r="K41" s="173"/>
      <c r="L41" s="173"/>
      <c r="M41" s="173"/>
      <c r="N41" s="56"/>
      <c r="O41" s="56"/>
      <c r="P41" s="224"/>
      <c r="Q41" s="224"/>
      <c r="R41" s="224"/>
      <c r="S41" s="224"/>
      <c r="T41" s="287"/>
      <c r="U41" s="56"/>
      <c r="V41" s="56"/>
      <c r="W41" s="1"/>
    </row>
    <row r="42" spans="1:29">
      <c r="A42" s="419"/>
      <c r="B42" s="427"/>
      <c r="C42" s="422"/>
      <c r="D42" s="422"/>
      <c r="E42" s="422"/>
      <c r="F42" s="428"/>
      <c r="G42" s="429"/>
      <c r="H42" s="168">
        <f t="shared" ref="H42:H61" si="1">IF(ISERROR(IF(A42="",I42*(Annual_Salary/12),I42*(VLOOKUP(A42,SalaryLimits,2,FALSE))/12)),0,IF(A42="",I42*(Annual_Salary/12),I42*(VLOOKUP(A42,SalaryLimits,2,FALSE))/12))</f>
        <v>0</v>
      </c>
      <c r="I42" s="349">
        <f t="shared" ref="I42:I61" si="2">IF(ISERROR(ROUND(IF(AND(F42="",A42=""),G42/(Annual_Salary/12),IF(AND(F42="",A42&lt;&gt;""),G42/(VLOOKUP(A42,SalaryLimits,2,FALSE)/12),F42)),4)),0,ROUND(IF(AND(F42="",A42=""),G42/(Annual_Salary/12),IF(AND(F42="",A42&lt;&gt;""),G42/(VLOOKUP(A42,SalaryLimits,2,FALSE)/12),F42)),4))</f>
        <v>0</v>
      </c>
      <c r="J42" s="170">
        <f t="shared" ref="J42:J61" si="3">IF(ISERROR(IF(I42&lt;J78,I42,J78)),0,IF(I42&lt;J78,I42,J78))</f>
        <v>0</v>
      </c>
      <c r="K42" s="115">
        <f t="shared" ref="K42:K61" si="4">IF(ISERROR(IF(Y42&lt;K78,Y42,K78)),0,IF(Y42&lt;K78,Y42,K78))</f>
        <v>0</v>
      </c>
      <c r="L42" s="115">
        <f t="shared" ref="L42:L61" si="5">IF(ISERROR(IF(Z42&lt;L78,Z42,L78)),0,IF(Z42&lt;L78,Z42,L78))</f>
        <v>0</v>
      </c>
      <c r="M42" s="171">
        <f t="shared" ref="M42:M61" si="6">IF(ISERROR(IF(AA42&lt;M78,AA42,M78)),0,IF(AA42&lt;M78,AA42,M78))</f>
        <v>0</v>
      </c>
      <c r="N42" s="228">
        <f t="shared" ref="N42:N61" si="7">SUM(J42:M42)</f>
        <v>0</v>
      </c>
      <c r="O42" s="111"/>
      <c r="P42" s="138">
        <f t="shared" ref="P42:P61" si="8">IF(OR(OverCAP="No",A42=""),0,(J42*(Annual_Salary/12))-(J42*(VLOOKUP(A42,SalaryLimits,2,FALSE)/12)))</f>
        <v>0</v>
      </c>
      <c r="Q42" s="138">
        <f t="shared" ref="Q42:Q61" si="9">IF(OR(OverCAP="No",A42=""),0,(K42*(Annual_Salary/12))-(K42*(VLOOKUP(A42,SalaryLimits,2,FALSE)/12)))</f>
        <v>0</v>
      </c>
      <c r="R42" s="138">
        <f t="shared" ref="R42:R61" si="10">IF(OR(OverCAP="No",A42=""),0,(L42*(Annual_Salary/12))-(L42*(VLOOKUP(A42,SalaryLimits,2,FALSE)/12)))</f>
        <v>0</v>
      </c>
      <c r="S42" s="138">
        <f t="shared" ref="S42:S61" si="11">IF(OR(OverCAP="No",A42=""),0,(M42*(Annual_Salary/12))-(M42*(VLOOKUP(A42,SalaryLimits,2,FALSE)/12)))</f>
        <v>0</v>
      </c>
      <c r="T42" s="357">
        <f t="shared" ref="T42:T61" si="12">SUM(P42:S42)</f>
        <v>0</v>
      </c>
      <c r="U42" s="220"/>
      <c r="V42" s="220"/>
      <c r="W42" s="1"/>
      <c r="Y42" s="68">
        <f t="shared" ref="Y42:Y61" si="13">I42-J42</f>
        <v>0</v>
      </c>
      <c r="Z42" s="69">
        <f t="shared" ref="Z42:Z61" si="14">I42-J42-K42</f>
        <v>0</v>
      </c>
      <c r="AA42" s="70">
        <f t="shared" ref="AA42:AA61" si="15">I42-J42-K42-L42</f>
        <v>0</v>
      </c>
      <c r="AB42" s="69">
        <f t="shared" ref="AB42:AB61" si="16">I42-J42-K42-L42-M42</f>
        <v>0</v>
      </c>
    </row>
    <row r="43" spans="1:29">
      <c r="A43" s="420"/>
      <c r="B43" s="427"/>
      <c r="C43" s="422"/>
      <c r="D43" s="422"/>
      <c r="E43" s="422"/>
      <c r="F43" s="428"/>
      <c r="G43" s="430"/>
      <c r="H43" s="168">
        <f t="shared" si="1"/>
        <v>0</v>
      </c>
      <c r="I43" s="349">
        <f t="shared" si="2"/>
        <v>0</v>
      </c>
      <c r="J43" s="148">
        <f t="shared" si="3"/>
        <v>0</v>
      </c>
      <c r="K43" s="65">
        <f t="shared" si="4"/>
        <v>0</v>
      </c>
      <c r="L43" s="65">
        <f t="shared" si="5"/>
        <v>0</v>
      </c>
      <c r="M43" s="66">
        <f t="shared" si="6"/>
        <v>0</v>
      </c>
      <c r="N43" s="229">
        <f t="shared" si="7"/>
        <v>0</v>
      </c>
      <c r="O43" s="111"/>
      <c r="P43" s="225">
        <f t="shared" si="8"/>
        <v>0</v>
      </c>
      <c r="Q43" s="226">
        <f t="shared" si="9"/>
        <v>0</v>
      </c>
      <c r="R43" s="226">
        <f t="shared" si="10"/>
        <v>0</v>
      </c>
      <c r="S43" s="226">
        <f t="shared" si="11"/>
        <v>0</v>
      </c>
      <c r="T43" s="357">
        <f t="shared" si="12"/>
        <v>0</v>
      </c>
      <c r="U43" s="220"/>
      <c r="V43" s="220"/>
      <c r="W43" s="1"/>
      <c r="Y43" s="68">
        <f t="shared" si="13"/>
        <v>0</v>
      </c>
      <c r="Z43" s="69">
        <f t="shared" si="14"/>
        <v>0</v>
      </c>
      <c r="AA43" s="70">
        <f t="shared" si="15"/>
        <v>0</v>
      </c>
      <c r="AB43" s="69">
        <f t="shared" si="16"/>
        <v>0</v>
      </c>
    </row>
    <row r="44" spans="1:29">
      <c r="A44" s="419"/>
      <c r="B44" s="427"/>
      <c r="C44" s="422"/>
      <c r="D44" s="422"/>
      <c r="E44" s="422"/>
      <c r="F44" s="428"/>
      <c r="G44" s="430"/>
      <c r="H44" s="168">
        <f t="shared" si="1"/>
        <v>0</v>
      </c>
      <c r="I44" s="349">
        <f t="shared" si="2"/>
        <v>0</v>
      </c>
      <c r="J44" s="148">
        <f t="shared" si="3"/>
        <v>0</v>
      </c>
      <c r="K44" s="65">
        <f t="shared" si="4"/>
        <v>0</v>
      </c>
      <c r="L44" s="65">
        <f t="shared" si="5"/>
        <v>0</v>
      </c>
      <c r="M44" s="66">
        <f t="shared" si="6"/>
        <v>0</v>
      </c>
      <c r="N44" s="229">
        <f t="shared" si="7"/>
        <v>0</v>
      </c>
      <c r="O44" s="111"/>
      <c r="P44" s="225">
        <f t="shared" si="8"/>
        <v>0</v>
      </c>
      <c r="Q44" s="226">
        <f t="shared" si="9"/>
        <v>0</v>
      </c>
      <c r="R44" s="226">
        <f t="shared" si="10"/>
        <v>0</v>
      </c>
      <c r="S44" s="226">
        <f t="shared" si="11"/>
        <v>0</v>
      </c>
      <c r="T44" s="357">
        <f t="shared" si="12"/>
        <v>0</v>
      </c>
      <c r="U44" s="220"/>
      <c r="V44" s="220"/>
      <c r="W44" s="1"/>
      <c r="Y44" s="68">
        <f t="shared" si="13"/>
        <v>0</v>
      </c>
      <c r="Z44" s="69">
        <f t="shared" si="14"/>
        <v>0</v>
      </c>
      <c r="AA44" s="70">
        <f t="shared" si="15"/>
        <v>0</v>
      </c>
      <c r="AB44" s="69">
        <f t="shared" si="16"/>
        <v>0</v>
      </c>
    </row>
    <row r="45" spans="1:29">
      <c r="A45" s="419"/>
      <c r="B45" s="427"/>
      <c r="C45" s="422"/>
      <c r="D45" s="422"/>
      <c r="E45" s="422"/>
      <c r="F45" s="428"/>
      <c r="G45" s="430"/>
      <c r="H45" s="168">
        <f t="shared" si="1"/>
        <v>0</v>
      </c>
      <c r="I45" s="349">
        <f t="shared" si="2"/>
        <v>0</v>
      </c>
      <c r="J45" s="148">
        <f t="shared" si="3"/>
        <v>0</v>
      </c>
      <c r="K45" s="65">
        <f t="shared" si="4"/>
        <v>0</v>
      </c>
      <c r="L45" s="65">
        <f t="shared" si="5"/>
        <v>0</v>
      </c>
      <c r="M45" s="66">
        <f t="shared" si="6"/>
        <v>0</v>
      </c>
      <c r="N45" s="229">
        <f t="shared" si="7"/>
        <v>0</v>
      </c>
      <c r="O45" s="111"/>
      <c r="P45" s="225">
        <f t="shared" si="8"/>
        <v>0</v>
      </c>
      <c r="Q45" s="226">
        <f t="shared" si="9"/>
        <v>0</v>
      </c>
      <c r="R45" s="226">
        <f t="shared" si="10"/>
        <v>0</v>
      </c>
      <c r="S45" s="226">
        <f t="shared" si="11"/>
        <v>0</v>
      </c>
      <c r="T45" s="357">
        <f t="shared" si="12"/>
        <v>0</v>
      </c>
      <c r="U45" s="220"/>
      <c r="V45" s="220"/>
      <c r="W45" s="1"/>
      <c r="Y45" s="68">
        <f t="shared" si="13"/>
        <v>0</v>
      </c>
      <c r="Z45" s="69">
        <f t="shared" si="14"/>
        <v>0</v>
      </c>
      <c r="AA45" s="70">
        <f t="shared" si="15"/>
        <v>0</v>
      </c>
      <c r="AB45" s="69">
        <f t="shared" si="16"/>
        <v>0</v>
      </c>
    </row>
    <row r="46" spans="1:29">
      <c r="A46" s="419"/>
      <c r="B46" s="427"/>
      <c r="C46" s="422"/>
      <c r="D46" s="422"/>
      <c r="E46" s="422"/>
      <c r="F46" s="428"/>
      <c r="G46" s="430"/>
      <c r="H46" s="168">
        <f t="shared" si="1"/>
        <v>0</v>
      </c>
      <c r="I46" s="349">
        <f t="shared" si="2"/>
        <v>0</v>
      </c>
      <c r="J46" s="148">
        <f t="shared" si="3"/>
        <v>0</v>
      </c>
      <c r="K46" s="65">
        <f t="shared" si="4"/>
        <v>0</v>
      </c>
      <c r="L46" s="65">
        <f t="shared" si="5"/>
        <v>0</v>
      </c>
      <c r="M46" s="66">
        <f t="shared" si="6"/>
        <v>0</v>
      </c>
      <c r="N46" s="229">
        <f t="shared" si="7"/>
        <v>0</v>
      </c>
      <c r="O46" s="111"/>
      <c r="P46" s="225">
        <f t="shared" si="8"/>
        <v>0</v>
      </c>
      <c r="Q46" s="226">
        <f t="shared" si="9"/>
        <v>0</v>
      </c>
      <c r="R46" s="226">
        <f t="shared" si="10"/>
        <v>0</v>
      </c>
      <c r="S46" s="226">
        <f t="shared" si="11"/>
        <v>0</v>
      </c>
      <c r="T46" s="357">
        <f t="shared" si="12"/>
        <v>0</v>
      </c>
      <c r="U46" s="220"/>
      <c r="V46" s="220"/>
      <c r="W46" s="1"/>
      <c r="Y46" s="68">
        <f t="shared" si="13"/>
        <v>0</v>
      </c>
      <c r="Z46" s="69">
        <f t="shared" si="14"/>
        <v>0</v>
      </c>
      <c r="AA46" s="70">
        <f t="shared" si="15"/>
        <v>0</v>
      </c>
      <c r="AB46" s="69">
        <f t="shared" si="16"/>
        <v>0</v>
      </c>
    </row>
    <row r="47" spans="1:29">
      <c r="A47" s="419"/>
      <c r="B47" s="427"/>
      <c r="C47" s="422"/>
      <c r="D47" s="422"/>
      <c r="E47" s="422"/>
      <c r="F47" s="428"/>
      <c r="G47" s="430"/>
      <c r="H47" s="168">
        <f t="shared" si="1"/>
        <v>0</v>
      </c>
      <c r="I47" s="349">
        <f t="shared" si="2"/>
        <v>0</v>
      </c>
      <c r="J47" s="148">
        <f t="shared" si="3"/>
        <v>0</v>
      </c>
      <c r="K47" s="65">
        <f t="shared" si="4"/>
        <v>0</v>
      </c>
      <c r="L47" s="65">
        <f t="shared" si="5"/>
        <v>0</v>
      </c>
      <c r="M47" s="66">
        <f t="shared" si="6"/>
        <v>0</v>
      </c>
      <c r="N47" s="229">
        <f t="shared" si="7"/>
        <v>0</v>
      </c>
      <c r="O47" s="111"/>
      <c r="P47" s="225">
        <f t="shared" si="8"/>
        <v>0</v>
      </c>
      <c r="Q47" s="226">
        <f t="shared" si="9"/>
        <v>0</v>
      </c>
      <c r="R47" s="226">
        <f t="shared" si="10"/>
        <v>0</v>
      </c>
      <c r="S47" s="226">
        <f t="shared" si="11"/>
        <v>0</v>
      </c>
      <c r="T47" s="357">
        <f t="shared" si="12"/>
        <v>0</v>
      </c>
      <c r="U47" s="220"/>
      <c r="V47" s="220"/>
      <c r="W47" s="1"/>
      <c r="Y47" s="68">
        <f t="shared" si="13"/>
        <v>0</v>
      </c>
      <c r="Z47" s="69">
        <f t="shared" si="14"/>
        <v>0</v>
      </c>
      <c r="AA47" s="70">
        <f t="shared" si="15"/>
        <v>0</v>
      </c>
      <c r="AB47" s="69">
        <f t="shared" si="16"/>
        <v>0</v>
      </c>
    </row>
    <row r="48" spans="1:29">
      <c r="A48" s="419"/>
      <c r="B48" s="427"/>
      <c r="C48" s="422"/>
      <c r="D48" s="422"/>
      <c r="E48" s="422"/>
      <c r="F48" s="428"/>
      <c r="G48" s="430"/>
      <c r="H48" s="168">
        <f t="shared" si="1"/>
        <v>0</v>
      </c>
      <c r="I48" s="349">
        <f t="shared" si="2"/>
        <v>0</v>
      </c>
      <c r="J48" s="148">
        <f t="shared" si="3"/>
        <v>0</v>
      </c>
      <c r="K48" s="65">
        <f t="shared" si="4"/>
        <v>0</v>
      </c>
      <c r="L48" s="65">
        <f t="shared" si="5"/>
        <v>0</v>
      </c>
      <c r="M48" s="66">
        <f t="shared" si="6"/>
        <v>0</v>
      </c>
      <c r="N48" s="229">
        <f t="shared" si="7"/>
        <v>0</v>
      </c>
      <c r="O48" s="111"/>
      <c r="P48" s="225">
        <f t="shared" si="8"/>
        <v>0</v>
      </c>
      <c r="Q48" s="226">
        <f t="shared" si="9"/>
        <v>0</v>
      </c>
      <c r="R48" s="226">
        <f t="shared" si="10"/>
        <v>0</v>
      </c>
      <c r="S48" s="226">
        <f t="shared" si="11"/>
        <v>0</v>
      </c>
      <c r="T48" s="357">
        <f t="shared" si="12"/>
        <v>0</v>
      </c>
      <c r="U48" s="220"/>
      <c r="V48" s="220"/>
      <c r="W48" s="1"/>
      <c r="Y48" s="68">
        <f t="shared" si="13"/>
        <v>0</v>
      </c>
      <c r="Z48" s="69">
        <f t="shared" si="14"/>
        <v>0</v>
      </c>
      <c r="AA48" s="70">
        <f t="shared" si="15"/>
        <v>0</v>
      </c>
      <c r="AB48" s="69">
        <f t="shared" si="16"/>
        <v>0</v>
      </c>
    </row>
    <row r="49" spans="1:30">
      <c r="A49" s="419"/>
      <c r="B49" s="427"/>
      <c r="C49" s="431"/>
      <c r="D49" s="431"/>
      <c r="E49" s="422"/>
      <c r="F49" s="428"/>
      <c r="G49" s="430"/>
      <c r="H49" s="168">
        <f t="shared" si="1"/>
        <v>0</v>
      </c>
      <c r="I49" s="349">
        <f t="shared" si="2"/>
        <v>0</v>
      </c>
      <c r="J49" s="148">
        <f t="shared" si="3"/>
        <v>0</v>
      </c>
      <c r="K49" s="65">
        <f t="shared" si="4"/>
        <v>0</v>
      </c>
      <c r="L49" s="65">
        <f t="shared" si="5"/>
        <v>0</v>
      </c>
      <c r="M49" s="66">
        <f t="shared" si="6"/>
        <v>0</v>
      </c>
      <c r="N49" s="229">
        <f t="shared" si="7"/>
        <v>0</v>
      </c>
      <c r="O49" s="111"/>
      <c r="P49" s="225">
        <f t="shared" si="8"/>
        <v>0</v>
      </c>
      <c r="Q49" s="226">
        <f t="shared" si="9"/>
        <v>0</v>
      </c>
      <c r="R49" s="226">
        <f t="shared" si="10"/>
        <v>0</v>
      </c>
      <c r="S49" s="226">
        <f t="shared" si="11"/>
        <v>0</v>
      </c>
      <c r="T49" s="357">
        <f t="shared" si="12"/>
        <v>0</v>
      </c>
      <c r="U49" s="220"/>
      <c r="V49" s="220"/>
      <c r="W49" s="1"/>
      <c r="Y49" s="68">
        <f t="shared" si="13"/>
        <v>0</v>
      </c>
      <c r="Z49" s="69">
        <f t="shared" si="14"/>
        <v>0</v>
      </c>
      <c r="AA49" s="70">
        <f t="shared" si="15"/>
        <v>0</v>
      </c>
      <c r="AB49" s="69">
        <f t="shared" si="16"/>
        <v>0</v>
      </c>
    </row>
    <row r="50" spans="1:30">
      <c r="A50" s="419"/>
      <c r="B50" s="427"/>
      <c r="C50" s="431"/>
      <c r="D50" s="431"/>
      <c r="E50" s="422"/>
      <c r="F50" s="428"/>
      <c r="G50" s="430"/>
      <c r="H50" s="168">
        <f t="shared" si="1"/>
        <v>0</v>
      </c>
      <c r="I50" s="349">
        <f t="shared" si="2"/>
        <v>0</v>
      </c>
      <c r="J50" s="148">
        <f t="shared" si="3"/>
        <v>0</v>
      </c>
      <c r="K50" s="65">
        <f t="shared" si="4"/>
        <v>0</v>
      </c>
      <c r="L50" s="65">
        <f t="shared" si="5"/>
        <v>0</v>
      </c>
      <c r="M50" s="66">
        <f t="shared" si="6"/>
        <v>0</v>
      </c>
      <c r="N50" s="229">
        <f t="shared" si="7"/>
        <v>0</v>
      </c>
      <c r="O50" s="111"/>
      <c r="P50" s="225">
        <f t="shared" si="8"/>
        <v>0</v>
      </c>
      <c r="Q50" s="226">
        <f t="shared" si="9"/>
        <v>0</v>
      </c>
      <c r="R50" s="226">
        <f t="shared" si="10"/>
        <v>0</v>
      </c>
      <c r="S50" s="226">
        <f t="shared" si="11"/>
        <v>0</v>
      </c>
      <c r="T50" s="357">
        <f t="shared" si="12"/>
        <v>0</v>
      </c>
      <c r="U50" s="220"/>
      <c r="V50" s="220"/>
      <c r="W50" s="1"/>
      <c r="Y50" s="68">
        <f t="shared" si="13"/>
        <v>0</v>
      </c>
      <c r="Z50" s="69">
        <f t="shared" si="14"/>
        <v>0</v>
      </c>
      <c r="AA50" s="70">
        <f t="shared" si="15"/>
        <v>0</v>
      </c>
      <c r="AB50" s="69">
        <f t="shared" si="16"/>
        <v>0</v>
      </c>
    </row>
    <row r="51" spans="1:30">
      <c r="A51" s="419"/>
      <c r="B51" s="427"/>
      <c r="C51" s="431"/>
      <c r="D51" s="431"/>
      <c r="E51" s="422"/>
      <c r="F51" s="428"/>
      <c r="G51" s="430"/>
      <c r="H51" s="168">
        <f t="shared" si="1"/>
        <v>0</v>
      </c>
      <c r="I51" s="349">
        <f t="shared" si="2"/>
        <v>0</v>
      </c>
      <c r="J51" s="148">
        <f t="shared" si="3"/>
        <v>0</v>
      </c>
      <c r="K51" s="65">
        <f t="shared" si="4"/>
        <v>0</v>
      </c>
      <c r="L51" s="65">
        <f t="shared" si="5"/>
        <v>0</v>
      </c>
      <c r="M51" s="66">
        <f t="shared" si="6"/>
        <v>0</v>
      </c>
      <c r="N51" s="229">
        <f t="shared" si="7"/>
        <v>0</v>
      </c>
      <c r="O51" s="111"/>
      <c r="P51" s="225">
        <f t="shared" si="8"/>
        <v>0</v>
      </c>
      <c r="Q51" s="226">
        <f t="shared" si="9"/>
        <v>0</v>
      </c>
      <c r="R51" s="226">
        <f t="shared" si="10"/>
        <v>0</v>
      </c>
      <c r="S51" s="226">
        <f t="shared" si="11"/>
        <v>0</v>
      </c>
      <c r="T51" s="357">
        <f t="shared" si="12"/>
        <v>0</v>
      </c>
      <c r="U51" s="220"/>
      <c r="V51" s="220"/>
      <c r="W51" s="1"/>
      <c r="Y51" s="68">
        <f t="shared" si="13"/>
        <v>0</v>
      </c>
      <c r="Z51" s="69">
        <f t="shared" si="14"/>
        <v>0</v>
      </c>
      <c r="AA51" s="70">
        <f t="shared" si="15"/>
        <v>0</v>
      </c>
      <c r="AB51" s="69">
        <f t="shared" si="16"/>
        <v>0</v>
      </c>
    </row>
    <row r="52" spans="1:30">
      <c r="A52" s="419"/>
      <c r="B52" s="427"/>
      <c r="C52" s="431"/>
      <c r="D52" s="431"/>
      <c r="E52" s="422"/>
      <c r="F52" s="428"/>
      <c r="G52" s="430"/>
      <c r="H52" s="168">
        <f t="shared" si="1"/>
        <v>0</v>
      </c>
      <c r="I52" s="349">
        <f t="shared" si="2"/>
        <v>0</v>
      </c>
      <c r="J52" s="148">
        <f t="shared" si="3"/>
        <v>0</v>
      </c>
      <c r="K52" s="65">
        <f t="shared" si="4"/>
        <v>0</v>
      </c>
      <c r="L52" s="65">
        <f t="shared" si="5"/>
        <v>0</v>
      </c>
      <c r="M52" s="66">
        <f t="shared" si="6"/>
        <v>0</v>
      </c>
      <c r="N52" s="229">
        <f t="shared" si="7"/>
        <v>0</v>
      </c>
      <c r="O52" s="111"/>
      <c r="P52" s="225">
        <f t="shared" si="8"/>
        <v>0</v>
      </c>
      <c r="Q52" s="226">
        <f t="shared" si="9"/>
        <v>0</v>
      </c>
      <c r="R52" s="226">
        <f t="shared" si="10"/>
        <v>0</v>
      </c>
      <c r="S52" s="226">
        <f t="shared" si="11"/>
        <v>0</v>
      </c>
      <c r="T52" s="357">
        <f t="shared" si="12"/>
        <v>0</v>
      </c>
      <c r="U52" s="220"/>
      <c r="V52" s="220"/>
      <c r="W52" s="1"/>
      <c r="Y52" s="68">
        <f t="shared" si="13"/>
        <v>0</v>
      </c>
      <c r="Z52" s="69">
        <f t="shared" si="14"/>
        <v>0</v>
      </c>
      <c r="AA52" s="70">
        <f t="shared" si="15"/>
        <v>0</v>
      </c>
      <c r="AB52" s="69">
        <f t="shared" si="16"/>
        <v>0</v>
      </c>
    </row>
    <row r="53" spans="1:30">
      <c r="A53" s="419"/>
      <c r="B53" s="427"/>
      <c r="C53" s="431"/>
      <c r="D53" s="431"/>
      <c r="E53" s="422"/>
      <c r="F53" s="428"/>
      <c r="G53" s="430"/>
      <c r="H53" s="168">
        <f t="shared" si="1"/>
        <v>0</v>
      </c>
      <c r="I53" s="349">
        <f t="shared" si="2"/>
        <v>0</v>
      </c>
      <c r="J53" s="148">
        <f t="shared" si="3"/>
        <v>0</v>
      </c>
      <c r="K53" s="65">
        <f t="shared" si="4"/>
        <v>0</v>
      </c>
      <c r="L53" s="65">
        <f t="shared" si="5"/>
        <v>0</v>
      </c>
      <c r="M53" s="66">
        <f t="shared" si="6"/>
        <v>0</v>
      </c>
      <c r="N53" s="229">
        <f t="shared" si="7"/>
        <v>0</v>
      </c>
      <c r="O53" s="111"/>
      <c r="P53" s="225">
        <f t="shared" si="8"/>
        <v>0</v>
      </c>
      <c r="Q53" s="226">
        <f t="shared" si="9"/>
        <v>0</v>
      </c>
      <c r="R53" s="226">
        <f t="shared" si="10"/>
        <v>0</v>
      </c>
      <c r="S53" s="226">
        <f t="shared" si="11"/>
        <v>0</v>
      </c>
      <c r="T53" s="357">
        <f t="shared" si="12"/>
        <v>0</v>
      </c>
      <c r="U53" s="220"/>
      <c r="V53" s="220"/>
      <c r="W53" s="1"/>
      <c r="Y53" s="68">
        <f t="shared" si="13"/>
        <v>0</v>
      </c>
      <c r="Z53" s="69">
        <f t="shared" si="14"/>
        <v>0</v>
      </c>
      <c r="AA53" s="70">
        <f t="shared" si="15"/>
        <v>0</v>
      </c>
      <c r="AB53" s="69">
        <f t="shared" si="16"/>
        <v>0</v>
      </c>
    </row>
    <row r="54" spans="1:30">
      <c r="A54" s="419"/>
      <c r="B54" s="427"/>
      <c r="C54" s="431"/>
      <c r="D54" s="431"/>
      <c r="E54" s="422"/>
      <c r="F54" s="428"/>
      <c r="G54" s="430"/>
      <c r="H54" s="168">
        <f t="shared" si="1"/>
        <v>0</v>
      </c>
      <c r="I54" s="349">
        <f t="shared" si="2"/>
        <v>0</v>
      </c>
      <c r="J54" s="148">
        <f t="shared" si="3"/>
        <v>0</v>
      </c>
      <c r="K54" s="65">
        <f t="shared" si="4"/>
        <v>0</v>
      </c>
      <c r="L54" s="65">
        <f t="shared" si="5"/>
        <v>0</v>
      </c>
      <c r="M54" s="66">
        <f t="shared" si="6"/>
        <v>0</v>
      </c>
      <c r="N54" s="229">
        <f t="shared" si="7"/>
        <v>0</v>
      </c>
      <c r="O54" s="111"/>
      <c r="P54" s="225">
        <f t="shared" si="8"/>
        <v>0</v>
      </c>
      <c r="Q54" s="226">
        <f t="shared" si="9"/>
        <v>0</v>
      </c>
      <c r="R54" s="226">
        <f t="shared" si="10"/>
        <v>0</v>
      </c>
      <c r="S54" s="226">
        <f t="shared" si="11"/>
        <v>0</v>
      </c>
      <c r="T54" s="357">
        <f t="shared" si="12"/>
        <v>0</v>
      </c>
      <c r="U54" s="220"/>
      <c r="V54" s="220"/>
      <c r="W54" s="1"/>
      <c r="Y54" s="68">
        <f t="shared" si="13"/>
        <v>0</v>
      </c>
      <c r="Z54" s="69">
        <f t="shared" si="14"/>
        <v>0</v>
      </c>
      <c r="AA54" s="70">
        <f t="shared" si="15"/>
        <v>0</v>
      </c>
      <c r="AB54" s="69">
        <f t="shared" si="16"/>
        <v>0</v>
      </c>
    </row>
    <row r="55" spans="1:30">
      <c r="A55" s="419"/>
      <c r="B55" s="427"/>
      <c r="C55" s="431"/>
      <c r="D55" s="431"/>
      <c r="E55" s="422"/>
      <c r="F55" s="428"/>
      <c r="G55" s="430"/>
      <c r="H55" s="168">
        <f t="shared" si="1"/>
        <v>0</v>
      </c>
      <c r="I55" s="349">
        <f t="shared" si="2"/>
        <v>0</v>
      </c>
      <c r="J55" s="148">
        <f t="shared" si="3"/>
        <v>0</v>
      </c>
      <c r="K55" s="65">
        <f t="shared" si="4"/>
        <v>0</v>
      </c>
      <c r="L55" s="65">
        <f t="shared" si="5"/>
        <v>0</v>
      </c>
      <c r="M55" s="66">
        <f t="shared" si="6"/>
        <v>0</v>
      </c>
      <c r="N55" s="229">
        <f t="shared" si="7"/>
        <v>0</v>
      </c>
      <c r="O55" s="111"/>
      <c r="P55" s="225">
        <f t="shared" si="8"/>
        <v>0</v>
      </c>
      <c r="Q55" s="226">
        <f t="shared" si="9"/>
        <v>0</v>
      </c>
      <c r="R55" s="226">
        <f t="shared" si="10"/>
        <v>0</v>
      </c>
      <c r="S55" s="226">
        <f t="shared" si="11"/>
        <v>0</v>
      </c>
      <c r="T55" s="357">
        <f t="shared" si="12"/>
        <v>0</v>
      </c>
      <c r="U55" s="220"/>
      <c r="V55" s="220"/>
      <c r="W55" s="1"/>
      <c r="Y55" s="68">
        <f t="shared" si="13"/>
        <v>0</v>
      </c>
      <c r="Z55" s="69">
        <f t="shared" si="14"/>
        <v>0</v>
      </c>
      <c r="AA55" s="70">
        <f t="shared" si="15"/>
        <v>0</v>
      </c>
      <c r="AB55" s="69">
        <f t="shared" si="16"/>
        <v>0</v>
      </c>
    </row>
    <row r="56" spans="1:30">
      <c r="A56" s="419"/>
      <c r="B56" s="427"/>
      <c r="C56" s="431"/>
      <c r="D56" s="431"/>
      <c r="E56" s="422"/>
      <c r="F56" s="428"/>
      <c r="G56" s="430"/>
      <c r="H56" s="168">
        <f t="shared" si="1"/>
        <v>0</v>
      </c>
      <c r="I56" s="349">
        <f t="shared" si="2"/>
        <v>0</v>
      </c>
      <c r="J56" s="148">
        <f t="shared" si="3"/>
        <v>0</v>
      </c>
      <c r="K56" s="65">
        <f t="shared" si="4"/>
        <v>0</v>
      </c>
      <c r="L56" s="65">
        <f t="shared" si="5"/>
        <v>0</v>
      </c>
      <c r="M56" s="66">
        <f t="shared" si="6"/>
        <v>0</v>
      </c>
      <c r="N56" s="229">
        <f t="shared" si="7"/>
        <v>0</v>
      </c>
      <c r="O56" s="111"/>
      <c r="P56" s="225">
        <f t="shared" si="8"/>
        <v>0</v>
      </c>
      <c r="Q56" s="226">
        <f t="shared" si="9"/>
        <v>0</v>
      </c>
      <c r="R56" s="226">
        <f t="shared" si="10"/>
        <v>0</v>
      </c>
      <c r="S56" s="226">
        <f t="shared" si="11"/>
        <v>0</v>
      </c>
      <c r="T56" s="357">
        <f t="shared" si="12"/>
        <v>0</v>
      </c>
      <c r="U56" s="220"/>
      <c r="V56" s="220"/>
      <c r="W56" s="1"/>
      <c r="Y56" s="68">
        <f t="shared" si="13"/>
        <v>0</v>
      </c>
      <c r="Z56" s="69">
        <f t="shared" si="14"/>
        <v>0</v>
      </c>
      <c r="AA56" s="70">
        <f t="shared" si="15"/>
        <v>0</v>
      </c>
      <c r="AB56" s="69">
        <f t="shared" si="16"/>
        <v>0</v>
      </c>
    </row>
    <row r="57" spans="1:30">
      <c r="A57" s="419"/>
      <c r="B57" s="427"/>
      <c r="C57" s="431"/>
      <c r="D57" s="431"/>
      <c r="E57" s="422"/>
      <c r="F57" s="428"/>
      <c r="G57" s="430"/>
      <c r="H57" s="168">
        <f t="shared" si="1"/>
        <v>0</v>
      </c>
      <c r="I57" s="349">
        <f t="shared" si="2"/>
        <v>0</v>
      </c>
      <c r="J57" s="148">
        <f t="shared" si="3"/>
        <v>0</v>
      </c>
      <c r="K57" s="65">
        <f t="shared" si="4"/>
        <v>0</v>
      </c>
      <c r="L57" s="65">
        <f t="shared" si="5"/>
        <v>0</v>
      </c>
      <c r="M57" s="66">
        <f t="shared" si="6"/>
        <v>0</v>
      </c>
      <c r="N57" s="229">
        <f t="shared" si="7"/>
        <v>0</v>
      </c>
      <c r="O57" s="111"/>
      <c r="P57" s="225">
        <f t="shared" si="8"/>
        <v>0</v>
      </c>
      <c r="Q57" s="226">
        <f t="shared" si="9"/>
        <v>0</v>
      </c>
      <c r="R57" s="226">
        <f t="shared" si="10"/>
        <v>0</v>
      </c>
      <c r="S57" s="226">
        <f t="shared" si="11"/>
        <v>0</v>
      </c>
      <c r="T57" s="357">
        <f t="shared" si="12"/>
        <v>0</v>
      </c>
      <c r="U57" s="220"/>
      <c r="V57" s="220"/>
      <c r="W57" s="1"/>
      <c r="Y57" s="68">
        <f t="shared" si="13"/>
        <v>0</v>
      </c>
      <c r="Z57" s="69">
        <f t="shared" si="14"/>
        <v>0</v>
      </c>
      <c r="AA57" s="70">
        <f t="shared" si="15"/>
        <v>0</v>
      </c>
      <c r="AB57" s="69">
        <f t="shared" si="16"/>
        <v>0</v>
      </c>
    </row>
    <row r="58" spans="1:30">
      <c r="A58" s="419"/>
      <c r="B58" s="427"/>
      <c r="C58" s="431"/>
      <c r="D58" s="431"/>
      <c r="E58" s="422"/>
      <c r="F58" s="428"/>
      <c r="G58" s="430"/>
      <c r="H58" s="168">
        <f t="shared" si="1"/>
        <v>0</v>
      </c>
      <c r="I58" s="349">
        <f t="shared" si="2"/>
        <v>0</v>
      </c>
      <c r="J58" s="148">
        <f t="shared" si="3"/>
        <v>0</v>
      </c>
      <c r="K58" s="65">
        <f t="shared" si="4"/>
        <v>0</v>
      </c>
      <c r="L58" s="65">
        <f t="shared" si="5"/>
        <v>0</v>
      </c>
      <c r="M58" s="66">
        <f t="shared" si="6"/>
        <v>0</v>
      </c>
      <c r="N58" s="229">
        <f t="shared" si="7"/>
        <v>0</v>
      </c>
      <c r="O58" s="111"/>
      <c r="P58" s="225">
        <f t="shared" si="8"/>
        <v>0</v>
      </c>
      <c r="Q58" s="226">
        <f t="shared" si="9"/>
        <v>0</v>
      </c>
      <c r="R58" s="226">
        <f t="shared" si="10"/>
        <v>0</v>
      </c>
      <c r="S58" s="226">
        <f t="shared" si="11"/>
        <v>0</v>
      </c>
      <c r="T58" s="357">
        <f t="shared" si="12"/>
        <v>0</v>
      </c>
      <c r="U58" s="220"/>
      <c r="V58" s="220"/>
      <c r="W58" s="1"/>
      <c r="Y58" s="68">
        <f t="shared" si="13"/>
        <v>0</v>
      </c>
      <c r="Z58" s="69">
        <f t="shared" si="14"/>
        <v>0</v>
      </c>
      <c r="AA58" s="70">
        <f t="shared" si="15"/>
        <v>0</v>
      </c>
      <c r="AB58" s="69">
        <f t="shared" si="16"/>
        <v>0</v>
      </c>
    </row>
    <row r="59" spans="1:30">
      <c r="A59" s="419"/>
      <c r="B59" s="427"/>
      <c r="C59" s="431"/>
      <c r="D59" s="431"/>
      <c r="E59" s="422"/>
      <c r="F59" s="428"/>
      <c r="G59" s="430"/>
      <c r="H59" s="168">
        <f t="shared" si="1"/>
        <v>0</v>
      </c>
      <c r="I59" s="349">
        <f t="shared" si="2"/>
        <v>0</v>
      </c>
      <c r="J59" s="148">
        <f t="shared" si="3"/>
        <v>0</v>
      </c>
      <c r="K59" s="65">
        <f t="shared" si="4"/>
        <v>0</v>
      </c>
      <c r="L59" s="65">
        <f t="shared" si="5"/>
        <v>0</v>
      </c>
      <c r="M59" s="66">
        <f t="shared" si="6"/>
        <v>0</v>
      </c>
      <c r="N59" s="229">
        <f t="shared" si="7"/>
        <v>0</v>
      </c>
      <c r="O59" s="111"/>
      <c r="P59" s="225">
        <f t="shared" si="8"/>
        <v>0</v>
      </c>
      <c r="Q59" s="226">
        <f t="shared" si="9"/>
        <v>0</v>
      </c>
      <c r="R59" s="226">
        <f t="shared" si="10"/>
        <v>0</v>
      </c>
      <c r="S59" s="226">
        <f t="shared" si="11"/>
        <v>0</v>
      </c>
      <c r="T59" s="357">
        <f t="shared" si="12"/>
        <v>0</v>
      </c>
      <c r="U59" s="220"/>
      <c r="V59" s="220"/>
      <c r="W59" s="1"/>
      <c r="Y59" s="68">
        <f t="shared" si="13"/>
        <v>0</v>
      </c>
      <c r="Z59" s="69">
        <f t="shared" si="14"/>
        <v>0</v>
      </c>
      <c r="AA59" s="70">
        <f t="shared" si="15"/>
        <v>0</v>
      </c>
      <c r="AB59" s="69">
        <f t="shared" si="16"/>
        <v>0</v>
      </c>
      <c r="AD59" s="158"/>
    </row>
    <row r="60" spans="1:30">
      <c r="A60" s="419"/>
      <c r="B60" s="427"/>
      <c r="C60" s="431"/>
      <c r="D60" s="431"/>
      <c r="E60" s="422"/>
      <c r="F60" s="428"/>
      <c r="G60" s="430"/>
      <c r="H60" s="168">
        <f t="shared" si="1"/>
        <v>0</v>
      </c>
      <c r="I60" s="349">
        <f t="shared" si="2"/>
        <v>0</v>
      </c>
      <c r="J60" s="148">
        <f t="shared" si="3"/>
        <v>0</v>
      </c>
      <c r="K60" s="65">
        <f t="shared" si="4"/>
        <v>0</v>
      </c>
      <c r="L60" s="65">
        <f t="shared" si="5"/>
        <v>0</v>
      </c>
      <c r="M60" s="66">
        <f t="shared" si="6"/>
        <v>0</v>
      </c>
      <c r="N60" s="229">
        <f t="shared" si="7"/>
        <v>0</v>
      </c>
      <c r="O60" s="111"/>
      <c r="P60" s="225">
        <f t="shared" si="8"/>
        <v>0</v>
      </c>
      <c r="Q60" s="226">
        <f t="shared" si="9"/>
        <v>0</v>
      </c>
      <c r="R60" s="226">
        <f t="shared" si="10"/>
        <v>0</v>
      </c>
      <c r="S60" s="226">
        <f t="shared" si="11"/>
        <v>0</v>
      </c>
      <c r="T60" s="357">
        <f t="shared" si="12"/>
        <v>0</v>
      </c>
      <c r="U60" s="220"/>
      <c r="V60" s="220"/>
      <c r="W60" s="1"/>
      <c r="Y60" s="68">
        <f t="shared" si="13"/>
        <v>0</v>
      </c>
      <c r="Z60" s="69">
        <f t="shared" si="14"/>
        <v>0</v>
      </c>
      <c r="AA60" s="70">
        <f t="shared" si="15"/>
        <v>0</v>
      </c>
      <c r="AB60" s="69">
        <f t="shared" si="16"/>
        <v>0</v>
      </c>
      <c r="AD60" s="158"/>
    </row>
    <row r="61" spans="1:30" ht="13" thickBot="1">
      <c r="A61" s="419"/>
      <c r="B61" s="427"/>
      <c r="C61" s="431"/>
      <c r="D61" s="431"/>
      <c r="E61" s="422"/>
      <c r="F61" s="428"/>
      <c r="G61" s="430"/>
      <c r="H61" s="168">
        <f t="shared" si="1"/>
        <v>0</v>
      </c>
      <c r="I61" s="349">
        <f t="shared" si="2"/>
        <v>0</v>
      </c>
      <c r="J61" s="148">
        <f t="shared" si="3"/>
        <v>0</v>
      </c>
      <c r="K61" s="65">
        <f t="shared" si="4"/>
        <v>0</v>
      </c>
      <c r="L61" s="65">
        <f t="shared" si="5"/>
        <v>0</v>
      </c>
      <c r="M61" s="66">
        <f t="shared" si="6"/>
        <v>0</v>
      </c>
      <c r="N61" s="229">
        <f t="shared" si="7"/>
        <v>0</v>
      </c>
      <c r="O61" s="111"/>
      <c r="P61" s="225">
        <f t="shared" si="8"/>
        <v>0</v>
      </c>
      <c r="Q61" s="226">
        <f t="shared" si="9"/>
        <v>0</v>
      </c>
      <c r="R61" s="226">
        <f t="shared" si="10"/>
        <v>0</v>
      </c>
      <c r="S61" s="226">
        <f t="shared" si="11"/>
        <v>0</v>
      </c>
      <c r="T61" s="357">
        <f t="shared" si="12"/>
        <v>0</v>
      </c>
      <c r="U61" s="220"/>
      <c r="V61" s="220"/>
      <c r="W61" s="1"/>
      <c r="Y61" s="68">
        <f t="shared" si="13"/>
        <v>0</v>
      </c>
      <c r="Z61" s="69">
        <f t="shared" si="14"/>
        <v>0</v>
      </c>
      <c r="AA61" s="70">
        <f t="shared" si="15"/>
        <v>0</v>
      </c>
      <c r="AB61" s="69">
        <f t="shared" si="16"/>
        <v>0</v>
      </c>
    </row>
    <row r="62" spans="1:30" ht="13" thickBot="1">
      <c r="A62" s="32"/>
      <c r="B62" s="167" t="s">
        <v>12</v>
      </c>
      <c r="C62" s="150"/>
      <c r="D62" s="150"/>
      <c r="E62" s="151"/>
      <c r="F62" s="347"/>
      <c r="G62" s="157"/>
      <c r="H62" s="348">
        <f t="shared" ref="H62:N62" si="17">SUM(H42:H61)</f>
        <v>0</v>
      </c>
      <c r="I62" s="350">
        <f t="shared" si="17"/>
        <v>0</v>
      </c>
      <c r="J62" s="351">
        <f t="shared" si="17"/>
        <v>0</v>
      </c>
      <c r="K62" s="352">
        <f t="shared" si="17"/>
        <v>0</v>
      </c>
      <c r="L62" s="352">
        <f t="shared" si="17"/>
        <v>0</v>
      </c>
      <c r="M62" s="350">
        <f t="shared" si="17"/>
        <v>0</v>
      </c>
      <c r="N62" s="353">
        <f t="shared" si="17"/>
        <v>0</v>
      </c>
      <c r="O62" s="134"/>
      <c r="P62" s="139">
        <f>ROUND(SUM(P42:P61),2)</f>
        <v>0</v>
      </c>
      <c r="Q62" s="140">
        <f>ROUND(SUM(Q42:Q61),2)</f>
        <v>0</v>
      </c>
      <c r="R62" s="140">
        <f>ROUND(SUM(R42:R61),2)</f>
        <v>0</v>
      </c>
      <c r="S62" s="284">
        <f>ROUND(SUM(S42:S61),2)</f>
        <v>0</v>
      </c>
      <c r="T62" s="285">
        <f>SUM(T42:T61)</f>
        <v>0</v>
      </c>
      <c r="U62" s="221"/>
      <c r="V62" s="221"/>
      <c r="Y62" s="69">
        <f>SUM(Y42:Y61)</f>
        <v>0</v>
      </c>
      <c r="Z62" s="69">
        <f>SUM(Z42:Z61)</f>
        <v>0</v>
      </c>
      <c r="AA62" s="69">
        <f>SUM(AA42:AA61)</f>
        <v>0</v>
      </c>
      <c r="AB62" s="69">
        <f>SUM(AB42:AB61)</f>
        <v>0</v>
      </c>
      <c r="AD62" s="158"/>
    </row>
    <row r="63" spans="1:30">
      <c r="A63" s="265" t="s">
        <v>81</v>
      </c>
      <c r="B63" s="335"/>
      <c r="C63" s="335"/>
      <c r="D63" s="335"/>
      <c r="E63" s="335"/>
      <c r="F63" s="335"/>
      <c r="G63" s="335"/>
      <c r="H63" s="335"/>
      <c r="I63" s="335"/>
      <c r="J63" s="335"/>
      <c r="K63" s="335"/>
      <c r="L63" s="335"/>
      <c r="M63" s="335"/>
      <c r="N63" s="335"/>
      <c r="O63" s="335"/>
      <c r="P63" s="221"/>
      <c r="Q63" s="221"/>
      <c r="R63" s="221"/>
      <c r="S63" s="221"/>
      <c r="T63" s="221"/>
      <c r="U63" s="221"/>
      <c r="V63" s="221"/>
      <c r="Y63" s="223"/>
      <c r="Z63" s="223"/>
      <c r="AA63" s="223"/>
      <c r="AB63" s="223"/>
      <c r="AD63" s="158"/>
    </row>
    <row r="64" spans="1:30">
      <c r="A64" s="53" t="s">
        <v>73</v>
      </c>
      <c r="B64" s="336"/>
      <c r="C64" s="337"/>
      <c r="D64" s="337"/>
      <c r="E64" s="338"/>
      <c r="F64" s="338"/>
      <c r="G64" s="338"/>
      <c r="H64" s="339"/>
      <c r="I64" s="340"/>
      <c r="J64" s="340"/>
      <c r="K64" s="340"/>
      <c r="L64" s="340"/>
      <c r="M64" s="340"/>
      <c r="N64" s="340"/>
      <c r="O64" s="134"/>
      <c r="P64" s="241"/>
      <c r="Q64" s="221"/>
      <c r="R64" s="333"/>
      <c r="S64" s="333"/>
      <c r="T64" s="221"/>
      <c r="U64" s="221"/>
      <c r="V64" s="221"/>
      <c r="Y64" s="223"/>
      <c r="Z64" s="223"/>
      <c r="AA64" s="223"/>
      <c r="AB64" s="223"/>
      <c r="AD64" s="158"/>
    </row>
    <row r="65" spans="1:34">
      <c r="A65" s="606"/>
      <c r="B65" s="607"/>
      <c r="C65" s="607"/>
      <c r="D65" s="607"/>
      <c r="E65" s="607"/>
      <c r="F65" s="607"/>
      <c r="G65" s="607"/>
      <c r="H65" s="607"/>
      <c r="I65" s="607"/>
      <c r="J65" s="607"/>
      <c r="K65" s="607"/>
      <c r="L65" s="607"/>
      <c r="M65" s="607"/>
      <c r="N65" s="608"/>
      <c r="O65" s="134"/>
      <c r="P65" s="241" t="s">
        <v>105</v>
      </c>
      <c r="Q65" s="288"/>
      <c r="R65" s="584"/>
      <c r="S65" s="585"/>
      <c r="T65" s="586"/>
      <c r="U65" s="221"/>
      <c r="V65" s="221"/>
      <c r="Y65" s="223"/>
      <c r="Z65" s="223"/>
      <c r="AA65" s="223"/>
      <c r="AB65" s="223"/>
      <c r="AD65" s="158"/>
    </row>
    <row r="66" spans="1:34">
      <c r="A66" s="609"/>
      <c r="B66" s="628"/>
      <c r="C66" s="628"/>
      <c r="D66" s="628"/>
      <c r="E66" s="628"/>
      <c r="F66" s="628"/>
      <c r="G66" s="628"/>
      <c r="H66" s="628"/>
      <c r="I66" s="628"/>
      <c r="J66" s="628"/>
      <c r="K66" s="628"/>
      <c r="L66" s="628"/>
      <c r="M66" s="628"/>
      <c r="N66" s="611"/>
      <c r="O66" s="134"/>
      <c r="P66" s="332"/>
      <c r="Q66" s="288"/>
      <c r="R66" s="587"/>
      <c r="S66" s="588"/>
      <c r="T66" s="589"/>
      <c r="U66" s="221"/>
      <c r="V66" s="221"/>
      <c r="Y66" s="223"/>
      <c r="Z66" s="223"/>
      <c r="AA66" s="223"/>
      <c r="AB66" s="223"/>
      <c r="AD66" s="158"/>
    </row>
    <row r="67" spans="1:34">
      <c r="A67" s="612"/>
      <c r="B67" s="613"/>
      <c r="C67" s="613"/>
      <c r="D67" s="613"/>
      <c r="E67" s="613"/>
      <c r="F67" s="613"/>
      <c r="G67" s="613"/>
      <c r="H67" s="613"/>
      <c r="I67" s="613"/>
      <c r="J67" s="613"/>
      <c r="K67" s="613"/>
      <c r="L67" s="613"/>
      <c r="M67" s="613"/>
      <c r="N67" s="614"/>
      <c r="O67" s="134"/>
      <c r="P67" s="332" t="s">
        <v>104</v>
      </c>
      <c r="Q67" s="288"/>
      <c r="R67" s="590"/>
      <c r="S67" s="591"/>
      <c r="T67" s="592"/>
      <c r="U67" s="221"/>
      <c r="V67" s="221"/>
      <c r="Y67" s="223"/>
      <c r="Z67" s="223"/>
      <c r="AA67" s="223"/>
      <c r="AB67" s="223"/>
      <c r="AD67" s="158"/>
    </row>
    <row r="68" spans="1:34">
      <c r="A68" s="31"/>
      <c r="B68" s="53"/>
      <c r="C68" s="53"/>
      <c r="D68" s="53"/>
      <c r="E68" s="53"/>
      <c r="F68" s="53"/>
      <c r="G68" s="53"/>
      <c r="H68" s="222"/>
      <c r="I68" s="134"/>
      <c r="J68" s="134"/>
      <c r="K68" s="134"/>
      <c r="L68" s="134"/>
      <c r="M68" s="134"/>
      <c r="N68" s="134"/>
      <c r="O68" s="134"/>
      <c r="P68" s="221"/>
      <c r="Q68" s="221"/>
      <c r="R68" s="540" t="s">
        <v>193</v>
      </c>
      <c r="S68" s="221"/>
      <c r="T68" s="221"/>
      <c r="U68" s="221"/>
      <c r="V68" s="221"/>
      <c r="Y68" s="223"/>
      <c r="Z68" s="223"/>
      <c r="AA68" s="223"/>
      <c r="AB68" s="223"/>
    </row>
    <row r="69" spans="1:34" hidden="1">
      <c r="A69" s="31"/>
      <c r="B69" s="53"/>
      <c r="C69" s="53"/>
      <c r="D69" s="53"/>
      <c r="E69" s="53"/>
      <c r="F69" s="53"/>
      <c r="G69" s="53"/>
      <c r="H69" s="222"/>
      <c r="I69" s="134"/>
      <c r="J69" s="134"/>
      <c r="K69" s="134"/>
      <c r="L69" s="134"/>
      <c r="M69" s="134"/>
      <c r="N69" s="134"/>
      <c r="O69" s="134"/>
      <c r="P69" s="221"/>
      <c r="Q69" s="221"/>
      <c r="R69" s="221"/>
      <c r="S69" s="221"/>
      <c r="T69" s="221"/>
      <c r="U69" s="221"/>
      <c r="V69" s="221"/>
      <c r="Y69" s="223"/>
      <c r="Z69" s="223"/>
      <c r="AA69" s="223"/>
      <c r="AB69" s="223"/>
    </row>
    <row r="70" spans="1:34" hidden="1">
      <c r="A70" s="31"/>
      <c r="B70" s="53"/>
      <c r="C70" s="53"/>
      <c r="D70" s="53"/>
      <c r="E70" s="53"/>
      <c r="F70" s="53"/>
      <c r="G70" s="53"/>
      <c r="H70" s="222"/>
      <c r="I70" s="134"/>
      <c r="J70" s="134"/>
      <c r="K70" s="134"/>
      <c r="L70" s="134"/>
      <c r="M70" s="134"/>
      <c r="N70" s="134"/>
      <c r="O70" s="134"/>
      <c r="P70" s="221"/>
      <c r="Q70" s="221"/>
      <c r="R70" s="221"/>
      <c r="S70" s="221"/>
      <c r="T70" s="221"/>
      <c r="U70" s="221"/>
      <c r="V70" s="221"/>
      <c r="Y70" s="223"/>
      <c r="Z70" s="223"/>
      <c r="AA70" s="223"/>
      <c r="AB70" s="223"/>
    </row>
    <row r="71" spans="1:34" hidden="1">
      <c r="A71" s="31"/>
      <c r="B71" s="53"/>
      <c r="C71" s="53"/>
      <c r="D71" s="53"/>
      <c r="E71" s="53"/>
      <c r="F71" s="53"/>
      <c r="G71" s="53"/>
      <c r="H71" s="222"/>
      <c r="I71" s="134"/>
      <c r="J71" s="134"/>
      <c r="K71" s="134"/>
      <c r="L71" s="134"/>
      <c r="M71" s="134"/>
      <c r="N71" s="134"/>
      <c r="O71" s="134"/>
      <c r="P71" s="221"/>
      <c r="Q71" s="221"/>
      <c r="R71" s="221"/>
      <c r="S71" s="221"/>
      <c r="T71" s="221"/>
      <c r="U71" s="221"/>
      <c r="V71" s="221"/>
      <c r="Y71" s="223"/>
      <c r="Z71" s="223"/>
      <c r="AA71" s="223"/>
      <c r="AB71" s="223"/>
    </row>
    <row r="72" spans="1:34" hidden="1">
      <c r="A72" s="31"/>
      <c r="B72" s="53"/>
      <c r="C72" s="53"/>
      <c r="D72" s="53"/>
      <c r="E72" s="53"/>
      <c r="F72" s="53"/>
      <c r="G72" s="53"/>
      <c r="H72" s="222"/>
      <c r="I72" s="134"/>
      <c r="J72" s="134"/>
      <c r="K72" s="134"/>
      <c r="L72" s="134"/>
      <c r="M72" s="134"/>
      <c r="N72" s="134"/>
      <c r="O72" s="134"/>
      <c r="P72" s="221"/>
      <c r="Q72" s="221"/>
      <c r="R72" s="221"/>
      <c r="S72" s="221"/>
      <c r="T72" s="221"/>
      <c r="U72" s="221"/>
      <c r="V72" s="221"/>
      <c r="Y72" s="223"/>
      <c r="Z72" s="223"/>
      <c r="AA72" s="223"/>
      <c r="AB72" s="223"/>
    </row>
    <row r="73" spans="1:34" hidden="1">
      <c r="A73" s="31"/>
      <c r="B73" s="53"/>
      <c r="C73" s="53"/>
      <c r="D73" s="53"/>
      <c r="E73" s="53"/>
      <c r="F73" s="53"/>
      <c r="G73" s="53"/>
      <c r="H73" s="222"/>
      <c r="I73" s="134"/>
      <c r="J73" s="134"/>
      <c r="K73" s="134"/>
      <c r="L73" s="134"/>
      <c r="M73" s="134"/>
      <c r="N73" s="134"/>
      <c r="O73" s="134"/>
      <c r="P73" s="221"/>
      <c r="Q73" s="221"/>
      <c r="R73" s="221"/>
      <c r="S73" s="221"/>
      <c r="T73" s="221"/>
      <c r="U73" s="221"/>
      <c r="V73" s="221"/>
      <c r="Y73" s="223"/>
      <c r="Z73" s="223"/>
      <c r="AA73" s="223"/>
      <c r="AB73" s="223"/>
    </row>
    <row r="74" spans="1:34" hidden="1">
      <c r="A74" s="31"/>
      <c r="B74" s="53"/>
      <c r="C74" s="53"/>
      <c r="D74" s="53"/>
      <c r="E74" s="53"/>
      <c r="F74" s="53"/>
      <c r="G74" s="53"/>
      <c r="H74" s="222"/>
      <c r="I74" s="134"/>
      <c r="J74" s="134"/>
      <c r="K74" s="134"/>
      <c r="L74" s="134"/>
      <c r="M74" s="134"/>
      <c r="N74" s="134"/>
      <c r="O74" s="134"/>
      <c r="P74" s="221"/>
      <c r="Q74" s="221"/>
      <c r="R74" s="221"/>
      <c r="S74" s="221"/>
      <c r="T74" s="221"/>
      <c r="U74" s="221"/>
      <c r="V74" s="221"/>
      <c r="Y74" s="223"/>
      <c r="Z74" s="223"/>
      <c r="AA74" s="223"/>
      <c r="AB74" s="223"/>
    </row>
    <row r="75" spans="1:34" hidden="1">
      <c r="A75" s="31"/>
      <c r="B75" s="53"/>
      <c r="C75" s="53"/>
      <c r="D75" s="53"/>
      <c r="E75" s="53"/>
      <c r="F75" s="53"/>
      <c r="G75" s="53"/>
      <c r="H75" s="222"/>
      <c r="I75" s="134"/>
      <c r="J75" s="134"/>
      <c r="K75" s="134"/>
      <c r="L75" s="134"/>
      <c r="M75" s="134"/>
      <c r="N75" s="134"/>
      <c r="O75" s="134"/>
      <c r="P75" s="221"/>
      <c r="Q75" s="221"/>
      <c r="R75" s="221"/>
      <c r="S75" s="221"/>
      <c r="T75" s="221"/>
      <c r="U75" s="221"/>
      <c r="V75" s="221"/>
      <c r="Y75" s="223"/>
      <c r="Z75" s="223"/>
      <c r="AA75" s="223"/>
      <c r="AB75" s="223"/>
    </row>
    <row r="76" spans="1:34" hidden="1">
      <c r="A76" s="31"/>
      <c r="B76" s="53"/>
      <c r="C76" s="53"/>
      <c r="D76" s="53"/>
      <c r="E76" s="53"/>
      <c r="F76" s="53"/>
      <c r="G76" s="53"/>
      <c r="H76" s="222"/>
      <c r="I76" s="134"/>
      <c r="J76" s="134"/>
      <c r="K76" s="134"/>
      <c r="L76" s="134"/>
      <c r="M76" s="134"/>
      <c r="N76" s="134"/>
      <c r="O76" s="134"/>
      <c r="P76" s="221"/>
      <c r="Q76" s="221"/>
      <c r="R76" s="221"/>
      <c r="S76" s="221"/>
      <c r="T76" s="221"/>
      <c r="U76" s="221"/>
      <c r="V76" s="221"/>
      <c r="Y76" s="223"/>
      <c r="Z76" s="223"/>
      <c r="AA76" s="223"/>
      <c r="AB76" s="223"/>
    </row>
    <row r="77" spans="1:34" hidden="1">
      <c r="G77" s="158"/>
      <c r="X77" s="82"/>
      <c r="Y77" s="82"/>
      <c r="Z77" s="82"/>
      <c r="AA77" s="82"/>
      <c r="AB77" s="82"/>
      <c r="AG77">
        <v>0.27</v>
      </c>
      <c r="AH77" t="s">
        <v>31</v>
      </c>
    </row>
    <row r="78" spans="1:34" ht="13" hidden="1" thickBot="1">
      <c r="B78" s="74" t="s">
        <v>13</v>
      </c>
      <c r="C78" s="77"/>
      <c r="D78" s="77"/>
      <c r="E78" s="14" t="s">
        <v>10</v>
      </c>
      <c r="F78" s="129"/>
      <c r="G78" s="129"/>
      <c r="H78" s="129"/>
      <c r="I78" s="129"/>
      <c r="J78" s="155">
        <f>ROUND(IF(ISERROR($E$30*(J36/Annual_Salary)),0,$E$30*(J36/Annual_Salary)),4)</f>
        <v>0</v>
      </c>
      <c r="K78" s="155">
        <f>ROUND(IF(ISERROR($E$30*((K36)/Annual_Salary)),0,$E$30*((K36)/Annual_Salary)),4)</f>
        <v>0</v>
      </c>
      <c r="L78" s="155">
        <f>ROUND(IF(ISERROR($E$30*((L36)/Annual_Salary)),0,$E$30*((L36)/Annual_Salary)),4)</f>
        <v>0</v>
      </c>
      <c r="M78" s="156">
        <f>IF(ISERROR($E$30-SUM(J78:L78)),0,$E$30-SUM(J78:L78))</f>
        <v>0</v>
      </c>
      <c r="N78" s="67">
        <f t="shared" ref="N78:N98" si="18">SUM(J78:M78)</f>
        <v>0</v>
      </c>
      <c r="O78" s="134"/>
      <c r="P78" s="143"/>
      <c r="Q78" s="134"/>
      <c r="R78" s="218"/>
      <c r="S78" s="134"/>
      <c r="T78" s="134"/>
      <c r="U78" s="134"/>
      <c r="V78" s="134"/>
      <c r="X78" s="95"/>
      <c r="Y78" s="35"/>
      <c r="Z78" s="35"/>
      <c r="AA78" s="35"/>
      <c r="AB78" s="79"/>
      <c r="AG78" s="71">
        <f>SUM(AG45:AG77)</f>
        <v>0.27</v>
      </c>
    </row>
    <row r="79" spans="1:34" hidden="1">
      <c r="B79" s="75" t="s">
        <v>14</v>
      </c>
      <c r="C79" s="78"/>
      <c r="D79" s="78"/>
      <c r="E79" s="3"/>
      <c r="F79" s="3"/>
      <c r="G79" s="3"/>
      <c r="H79" s="3"/>
      <c r="I79" s="3"/>
      <c r="J79" s="70">
        <f>IF(ISERROR(J78-J42),0,J78-J42)</f>
        <v>0</v>
      </c>
      <c r="K79" s="70">
        <f>IF(ISERROR(K78-K42),0,K78-K42)</f>
        <v>0</v>
      </c>
      <c r="L79" s="70">
        <f>IF(ISERROR(L78-L42),0,L78-L42)</f>
        <v>0</v>
      </c>
      <c r="M79" s="70">
        <f>IF(ISERROR(M78-M42),0,M78-M42)</f>
        <v>0</v>
      </c>
      <c r="N79" s="69">
        <f t="shared" si="18"/>
        <v>0</v>
      </c>
      <c r="O79" s="135"/>
      <c r="P79" s="135"/>
      <c r="Q79" s="135"/>
      <c r="R79" s="135"/>
      <c r="S79" s="135"/>
      <c r="T79" s="135"/>
      <c r="U79" s="135"/>
      <c r="V79" s="135"/>
      <c r="X79" s="81"/>
      <c r="Y79" s="92"/>
      <c r="Z79" s="88"/>
      <c r="AA79" s="92"/>
      <c r="AB79" s="128"/>
    </row>
    <row r="80" spans="1:34" hidden="1">
      <c r="B80" s="75" t="s">
        <v>15</v>
      </c>
      <c r="C80" s="78"/>
      <c r="D80" s="78"/>
      <c r="E80" s="9" t="s">
        <v>11</v>
      </c>
      <c r="F80" s="9"/>
      <c r="G80" s="9"/>
      <c r="H80" s="9"/>
      <c r="I80" s="9"/>
      <c r="J80" s="69">
        <f>IF(ISERROR(J78-J42-J43),0,J78-J42-J43)</f>
        <v>0</v>
      </c>
      <c r="K80" s="69">
        <f>IF(ISERROR(K78-K42-K43),0,K78-K42-K43)</f>
        <v>0</v>
      </c>
      <c r="L80" s="69">
        <f>IF(ISERROR(L78-L42-L43),0,L78-L42-L43)</f>
        <v>0</v>
      </c>
      <c r="M80" s="69">
        <f>IF(ISERROR(M78-M42-M43),0,M78-M42-M43)</f>
        <v>0</v>
      </c>
      <c r="N80" s="69">
        <f t="shared" si="18"/>
        <v>0</v>
      </c>
      <c r="O80" s="135"/>
      <c r="P80" s="135"/>
      <c r="Q80" s="135">
        <f>Q79-Q78</f>
        <v>0</v>
      </c>
      <c r="R80" s="135"/>
      <c r="S80" s="135"/>
      <c r="T80" s="135"/>
      <c r="U80" s="135"/>
      <c r="V80" s="135"/>
      <c r="X80" s="96"/>
      <c r="Y80" s="79"/>
      <c r="Z80" s="97"/>
      <c r="AA80" s="35"/>
      <c r="AB80" s="89"/>
    </row>
    <row r="81" spans="2:28" hidden="1">
      <c r="B81" s="76"/>
      <c r="C81" s="79"/>
      <c r="D81" s="79"/>
      <c r="E81" s="7"/>
      <c r="F81" s="7"/>
      <c r="G81" s="7"/>
      <c r="H81" s="7"/>
      <c r="I81" s="7"/>
      <c r="J81" s="70">
        <f>IF(ISERROR(J78-J42-J43-J44),0,J78-J42-J43-J44)</f>
        <v>0</v>
      </c>
      <c r="K81" s="70">
        <f>IF(ISERROR(K78-K42-K43-K44),0,K78-K42-K43-K44)</f>
        <v>0</v>
      </c>
      <c r="L81" s="70">
        <f>IF(ISERROR(L78-L42-L43-L44),0,L78-L42-L43-L44)</f>
        <v>0</v>
      </c>
      <c r="M81" s="70">
        <f>IF(ISERROR(M78-M42-M43-M44),0,M78-M42-M43-M44)</f>
        <v>0</v>
      </c>
      <c r="N81" s="69">
        <f t="shared" si="18"/>
        <v>0</v>
      </c>
      <c r="O81" s="135"/>
      <c r="P81" s="135"/>
      <c r="Q81" s="135"/>
      <c r="R81" s="135"/>
      <c r="S81" s="135"/>
      <c r="T81" s="135"/>
      <c r="U81" s="135"/>
      <c r="V81" s="135"/>
      <c r="X81" s="85"/>
      <c r="Y81" s="87"/>
      <c r="Z81" s="86"/>
      <c r="AA81" s="86"/>
      <c r="AB81" s="87"/>
    </row>
    <row r="82" spans="2:28" hidden="1">
      <c r="B82" s="76"/>
      <c r="C82" s="79"/>
      <c r="D82" s="79"/>
      <c r="E82" s="7"/>
      <c r="F82" s="7"/>
      <c r="G82" s="7"/>
      <c r="H82" s="7"/>
      <c r="I82" s="7"/>
      <c r="J82" s="69">
        <f>IF(ISERROR(J78-J42-J43-J44-J45),0,J78-J42-J43-J44-J45)</f>
        <v>0</v>
      </c>
      <c r="K82" s="69">
        <f>IF(ISERROR(K78-K42-K43-K44-K45),0,K78-K42-K43-K44-K45)</f>
        <v>0</v>
      </c>
      <c r="L82" s="69">
        <f>IF(ISERROR(L78-L42-L43-L44-L45),0,L78-L42-L43-L44-L45)</f>
        <v>0</v>
      </c>
      <c r="M82" s="69">
        <f>IF(ISERROR(M78-M42-M43-M44-M45),0,M78-M42-M43-M44-M45)</f>
        <v>0</v>
      </c>
      <c r="N82" s="69">
        <f t="shared" si="18"/>
        <v>0</v>
      </c>
      <c r="O82" s="135"/>
      <c r="P82" s="135"/>
      <c r="Q82" s="135"/>
      <c r="R82" s="135"/>
      <c r="S82" s="135"/>
      <c r="T82" s="135"/>
      <c r="U82" s="135"/>
      <c r="V82" s="135"/>
      <c r="X82" s="90"/>
      <c r="Y82" s="94"/>
      <c r="Z82" s="92"/>
      <c r="AA82" s="93"/>
      <c r="AB82" s="94"/>
    </row>
    <row r="83" spans="2:28" hidden="1">
      <c r="B83" s="76"/>
      <c r="C83" s="79"/>
      <c r="D83" s="79"/>
      <c r="E83" s="7"/>
      <c r="F83" s="7"/>
      <c r="G83" s="7"/>
      <c r="H83" s="7"/>
      <c r="I83" s="7"/>
      <c r="J83" s="70">
        <f>IF(ISERROR(J78-J42-J43-J44-J45-J46),0,J78-J42-J43-J44-J45-J46)</f>
        <v>0</v>
      </c>
      <c r="K83" s="70">
        <f>IF(ISERROR(K78-K42-K43-K44-K45-K46),0,K78-K42-K43-K44-K45-K46)</f>
        <v>0</v>
      </c>
      <c r="L83" s="70">
        <f>IF(ISERROR(L78-L42-L43-L44-L45-L46),0,L78-L42-L43-L44-L45-L46)</f>
        <v>0</v>
      </c>
      <c r="M83" s="70">
        <f>IF(ISERROR(M78-M42-M43-M44-M45-M46),0,M78-M42-M43-M44-M45-M46)</f>
        <v>0</v>
      </c>
      <c r="N83" s="69">
        <f t="shared" si="18"/>
        <v>0</v>
      </c>
      <c r="O83" s="135"/>
      <c r="P83" s="135"/>
      <c r="Q83" s="135"/>
      <c r="R83" s="135"/>
      <c r="S83" s="135"/>
      <c r="T83" s="135"/>
      <c r="U83" s="135"/>
      <c r="V83" s="135"/>
      <c r="X83" s="90"/>
      <c r="Y83" s="112"/>
      <c r="Z83" s="92"/>
      <c r="AA83" s="91"/>
      <c r="AB83" s="98"/>
    </row>
    <row r="84" spans="2:28" hidden="1">
      <c r="B84" s="76"/>
      <c r="C84" s="79"/>
      <c r="D84" s="79"/>
      <c r="E84" s="7"/>
      <c r="F84" s="7"/>
      <c r="G84" s="7"/>
      <c r="H84" s="7"/>
      <c r="I84" s="7"/>
      <c r="J84" s="69">
        <f>IF(ISERROR(J78-J42-J43-J44-J45-J46-J47),0,J78-J42-J43-J44-J45-J46-J47)</f>
        <v>0</v>
      </c>
      <c r="K84" s="69">
        <f>IF(ISERROR(K78-K42-K43-K44-K45-K46-K47),0,K78-K42-K43-K44-K45-K46-K47)</f>
        <v>0</v>
      </c>
      <c r="L84" s="69">
        <f>IF(ISERROR(L78-L42-L43-L44-L45-L46-L47),0,L78-L42-L43-L44-L45-L46-L47)</f>
        <v>0</v>
      </c>
      <c r="M84" s="69">
        <f>IF(ISERROR(M78-M42-M43-M44-M45-M46-M47),0,M78-M42-M43-M44-M45-M46-M47)</f>
        <v>0</v>
      </c>
      <c r="N84" s="69">
        <f t="shared" si="18"/>
        <v>0</v>
      </c>
      <c r="O84" s="135"/>
      <c r="P84" s="135"/>
      <c r="Q84" s="135"/>
      <c r="R84" s="135"/>
      <c r="S84" s="135"/>
      <c r="T84" s="135"/>
      <c r="U84" s="135"/>
      <c r="V84" s="135"/>
      <c r="X84" s="90"/>
      <c r="Y84" s="112"/>
      <c r="Z84" s="92"/>
      <c r="AA84" s="91"/>
      <c r="AB84" s="98"/>
    </row>
    <row r="85" spans="2:28" hidden="1">
      <c r="B85" s="76"/>
      <c r="C85" s="79"/>
      <c r="D85" s="79"/>
      <c r="E85" s="7"/>
      <c r="F85" s="7"/>
      <c r="G85" s="7"/>
      <c r="H85" s="7"/>
      <c r="I85" s="7"/>
      <c r="J85" s="70">
        <f>IF(ISERROR(J78-J42-J43-J44-J45-J46-J47-J48),0,J78-J42-J43-J44-J45-J46-J47-J48)</f>
        <v>0</v>
      </c>
      <c r="K85" s="70">
        <f>IF(ISERROR(K78-K42-K43-K44-K45-K46-K47-K48),0,K78-K42-K43-K44-K45-K46-K47-K48)</f>
        <v>0</v>
      </c>
      <c r="L85" s="70">
        <f>IF(ISERROR(L78-L42-L43-L44-L45-L46-L47-L48),0,L78-L42-L43-L44-L45-L46-L47-L48)</f>
        <v>0</v>
      </c>
      <c r="M85" s="70">
        <f>IF(ISERROR(M78-M42-M43-M44-M45-M46-M47-M48),0,M78-M42-M43-M44-M45-M46-M47-M48)</f>
        <v>0</v>
      </c>
      <c r="N85" s="69">
        <f t="shared" si="18"/>
        <v>0</v>
      </c>
      <c r="O85" s="135"/>
      <c r="P85" s="135"/>
      <c r="Q85" s="135"/>
      <c r="R85" s="135"/>
      <c r="S85" s="135"/>
      <c r="T85" s="135"/>
      <c r="U85" s="135"/>
      <c r="V85" s="135"/>
      <c r="X85" s="90"/>
      <c r="Y85" s="112"/>
      <c r="Z85" s="92"/>
      <c r="AA85" s="91"/>
      <c r="AB85" s="98"/>
    </row>
    <row r="86" spans="2:28" hidden="1">
      <c r="B86" s="76"/>
      <c r="C86" s="79"/>
      <c r="D86" s="79"/>
      <c r="E86" s="7"/>
      <c r="F86" s="7"/>
      <c r="G86" s="7"/>
      <c r="H86" s="7"/>
      <c r="I86" s="7"/>
      <c r="J86" s="69">
        <f>IF(ISERROR(J78-J42-J43-J44-J45-J46-J47-J48-J49),0,J78-J42-J43-J44-J45-J46-J47-J48-J49)</f>
        <v>0</v>
      </c>
      <c r="K86" s="69">
        <f>IF(ISERROR(K78-K42-K43-K44-K45-K46-K47-K48-K49),0,K78-K42-K43-K44-K45-K46-K47-K48-K49)</f>
        <v>0</v>
      </c>
      <c r="L86" s="69">
        <f>IF(ISERROR(L78-L42-L43-L44-L45-L46-L47-L48-L49),0,L78-L42-L43-L44-L45-L46-L47-L48-L49)</f>
        <v>0</v>
      </c>
      <c r="M86" s="69">
        <f>IF(ISERROR(M78-M42-M43-M44-M45-M46-M47-M48-M49),0,M78-M42-M43-M44-M45-M46-M47-M48-M49)</f>
        <v>0</v>
      </c>
      <c r="N86" s="69">
        <f t="shared" si="18"/>
        <v>0</v>
      </c>
      <c r="O86" s="135"/>
      <c r="P86" s="135"/>
      <c r="Q86" s="135"/>
      <c r="R86" s="135"/>
      <c r="S86" s="135"/>
      <c r="T86" s="135"/>
      <c r="U86" s="135"/>
      <c r="V86" s="135"/>
      <c r="X86" s="90"/>
      <c r="Y86" s="112"/>
      <c r="Z86" s="92"/>
      <c r="AA86" s="91"/>
      <c r="AB86" s="98"/>
    </row>
    <row r="87" spans="2:28" hidden="1">
      <c r="B87" s="76"/>
      <c r="C87" s="79"/>
      <c r="D87" s="79"/>
      <c r="E87" s="7"/>
      <c r="F87" s="7"/>
      <c r="G87" s="7"/>
      <c r="H87" s="7"/>
      <c r="I87" s="7"/>
      <c r="J87" s="69">
        <f>IF(ISERROR(J78-J42-J43-J44-J45-J46-J47-J48-J49-J50),0,J78-J42-J43-J44-J45-J46-J47-J48-J49-J50)</f>
        <v>0</v>
      </c>
      <c r="K87" s="69">
        <f>IF(ISERROR(K78-K42-K43-K44-K45-K46-K47-K48-K49-K50),0,K78-K42-K43-K44-K45-K46-K47-K48-K49-K50)</f>
        <v>0</v>
      </c>
      <c r="L87" s="69">
        <f>IF(ISERROR(L78-L42-L43-L44-L45-L46-L47-L48-L49-L50),0,L78-L42-L43-L44-L45-L46-L47-L48-L49-L50)</f>
        <v>0</v>
      </c>
      <c r="M87" s="69">
        <f>IF(ISERROR(M78-M42-M43-M44-M45-M46-M47-M48-M49-M50),0,M78-M42-M43-M44-M45-M46-M47-M48-M49-M50)</f>
        <v>0</v>
      </c>
      <c r="N87" s="69">
        <f t="shared" si="18"/>
        <v>0</v>
      </c>
      <c r="O87" s="135"/>
      <c r="P87" s="135"/>
      <c r="Q87" s="135"/>
      <c r="R87" s="135"/>
      <c r="S87" s="135"/>
      <c r="T87" s="135"/>
      <c r="U87" s="135"/>
      <c r="V87" s="135"/>
      <c r="X87" s="358"/>
      <c r="Y87" s="359"/>
      <c r="Z87" s="31"/>
      <c r="AA87" s="360"/>
      <c r="AB87" s="361"/>
    </row>
    <row r="88" spans="2:28" hidden="1">
      <c r="B88" s="76"/>
      <c r="C88" s="79"/>
      <c r="D88" s="79"/>
      <c r="E88" s="7"/>
      <c r="F88" s="7"/>
      <c r="G88" s="7"/>
      <c r="H88" s="7"/>
      <c r="I88" s="7"/>
      <c r="J88" s="69">
        <f>IF(ISERROR(J78-J42-J43-J44-J45-J46-J47-J48-J49-J50-J51),0,J78-J42-J43-J44-J45-J46-J47-J48-J49-J50-J51)</f>
        <v>0</v>
      </c>
      <c r="K88" s="69">
        <f>IF(ISERROR(K78-K42-K43-K44-K45-K46-K47-K48-K49-K50-K51),0,K78-K42-K43-K44-K45-K46-K47-K48-K49-K50-K51)</f>
        <v>0</v>
      </c>
      <c r="L88" s="69">
        <f>IF(ISERROR(L78-L42-L43-L44-L45-L46-L47-L48-L49-L50-L51),0,L78-L42-L43-L44-L45-L46-L47-L48-L49-L50-L51)</f>
        <v>0</v>
      </c>
      <c r="M88" s="69">
        <f>IF(ISERROR(M78-M42-M43-M44-M45-M46-M47-M48-M49-M50-M51),0,M78-M42-M43-M44-M45-M46-M47-M48-M49-M50-M51)</f>
        <v>0</v>
      </c>
      <c r="N88" s="69">
        <f t="shared" si="18"/>
        <v>0</v>
      </c>
      <c r="O88" s="135"/>
      <c r="P88" s="135"/>
      <c r="Q88" s="135"/>
      <c r="R88" s="135"/>
      <c r="S88" s="135"/>
      <c r="T88" s="135"/>
      <c r="U88" s="135"/>
      <c r="V88" s="135"/>
      <c r="X88" s="358"/>
      <c r="Y88" s="359"/>
      <c r="Z88" s="31"/>
      <c r="AA88" s="360"/>
      <c r="AB88" s="361"/>
    </row>
    <row r="89" spans="2:28" hidden="1">
      <c r="B89" s="76"/>
      <c r="C89" s="79"/>
      <c r="D89" s="79"/>
      <c r="E89" s="7"/>
      <c r="F89" s="7"/>
      <c r="G89" s="7"/>
      <c r="H89" s="7"/>
      <c r="I89" s="7"/>
      <c r="J89" s="69">
        <f>IF(ISERROR(J78-J42-J43-J44-J45-J46-J47-J48-J49-J50-J51-J52),0,J78-J42-J43-J44-J45-J46-J47-J48-J49-J50-J51-J52)</f>
        <v>0</v>
      </c>
      <c r="K89" s="69">
        <f>IF(ISERROR(K78-K42-K43-K44-K45-K46-K47-K48-K49-K50-K51-K52),0,K78-K42-K43-K44-K45-K46-K47-K48-K49-K50-K51-K52)</f>
        <v>0</v>
      </c>
      <c r="L89" s="69">
        <f>IF(ISERROR(L78-L42-L43-L44-L45-L46-L47-L48-L49-L50-L51-L52),0,L78-L42-L43-L44-L45-L46-L47-L48-L49-L50-L51-L52)</f>
        <v>0</v>
      </c>
      <c r="M89" s="69">
        <f>IF(ISERROR(M78-M42-M43-M44-M45-M46-M47-M48-M49-M50-M51-M52),0,M78-M42-M43-M44-M45-M46-M47-M48-M49-M50-M51-M52)</f>
        <v>0</v>
      </c>
      <c r="N89" s="69">
        <f t="shared" si="18"/>
        <v>0</v>
      </c>
      <c r="O89" s="135"/>
      <c r="P89" s="135"/>
      <c r="Q89" s="135"/>
      <c r="R89" s="135"/>
      <c r="S89" s="135"/>
      <c r="T89" s="135"/>
      <c r="U89" s="135"/>
      <c r="V89" s="135"/>
      <c r="X89" s="358"/>
      <c r="Y89" s="359"/>
      <c r="Z89" s="31"/>
      <c r="AA89" s="360"/>
      <c r="AB89" s="361"/>
    </row>
    <row r="90" spans="2:28" hidden="1">
      <c r="B90" s="76"/>
      <c r="C90" s="79"/>
      <c r="D90" s="79"/>
      <c r="E90" s="7"/>
      <c r="F90" s="7"/>
      <c r="G90" s="7"/>
      <c r="H90" s="7"/>
      <c r="I90" s="7"/>
      <c r="J90" s="69">
        <f>IF(ISERROR(J78-J42-J43-J44-J45-J46-J47-J48-J49-J50-J51-J52-J53),0,J78-J42-J43-J44-J45-J46-J47-J48-J49-J50-J51-J52-J53)</f>
        <v>0</v>
      </c>
      <c r="K90" s="69">
        <f>IF(ISERROR(K78-K42-K43-K44-K45-K46-K47-K48-K49-K50-K51-K52-K53),0,K78-K42-K43-K44-K45-K46-K47-K48-K49-K50-K51-K52-K53)</f>
        <v>0</v>
      </c>
      <c r="L90" s="69">
        <f>IF(ISERROR(L78-L42-L43-L44-L45-L46-L47-L48-L49-L50-L51-L52-L53),0,L78-L42-L43-L44-L45-L46-L47-L48-L49-L50-L51-L52-L53)</f>
        <v>0</v>
      </c>
      <c r="M90" s="69">
        <f>IF(ISERROR(M78-M42-M43-M44-M45-M46-M47-M48-M49-M50-M51-M52-M53),0,M78-M42-M43-M44-M45-M46-M47-M48-M49-M50-M51-M52-M53)</f>
        <v>0</v>
      </c>
      <c r="N90" s="69">
        <f t="shared" si="18"/>
        <v>0</v>
      </c>
      <c r="O90" s="135"/>
      <c r="P90" s="135"/>
      <c r="Q90" s="135"/>
      <c r="R90" s="135"/>
      <c r="S90" s="135"/>
      <c r="T90" s="135"/>
      <c r="U90" s="135"/>
      <c r="V90" s="135"/>
      <c r="X90" s="358"/>
      <c r="Y90" s="359"/>
      <c r="Z90" s="31"/>
      <c r="AA90" s="360"/>
      <c r="AB90" s="361"/>
    </row>
    <row r="91" spans="2:28" hidden="1">
      <c r="B91" s="76"/>
      <c r="C91" s="79"/>
      <c r="D91" s="79"/>
      <c r="E91" s="7"/>
      <c r="F91" s="7"/>
      <c r="G91" s="7"/>
      <c r="H91" s="7"/>
      <c r="I91" s="7"/>
      <c r="J91" s="69">
        <f>IF(ISERROR(J78-J42-J43-J44-J45-J46-J47-J48-J49-J50-J51-J52-J53-J54),0,J78-J42-J43-J44-J45-J46-J47-J48-J49-J50-J51-J52-J53-J54)</f>
        <v>0</v>
      </c>
      <c r="K91" s="69">
        <f>IF(ISERROR(K78-K42-K43-K44-K45-K46-K47-K48-K49-K50-K51-K52-K53-K54),0,K78-K42-K43-K44-K45-K46-K47-K48-K49-K50-K51-K52-K53-K54)</f>
        <v>0</v>
      </c>
      <c r="L91" s="69">
        <f>IF(ISERROR(L78-L42-L43-L44-L45-L46-L47-L48-L49-L50-L51-L52-L53-L54),0,L78-L42-L43-L44-L45-L46-L47-L48-L49-L50-L51-L52-L53-L54)</f>
        <v>0</v>
      </c>
      <c r="M91" s="69">
        <f>IF(ISERROR(M78-M42-M43-M44-M45-M46-M47-M48-M49-M50-M51-M52-M53-M54),0,M78-M42-M43-M44-M45-M46-M47-M48-M49-M50-M51-M52-M53-M54)</f>
        <v>0</v>
      </c>
      <c r="N91" s="69">
        <f t="shared" si="18"/>
        <v>0</v>
      </c>
      <c r="O91" s="135"/>
      <c r="P91" s="135"/>
      <c r="Q91" s="135"/>
      <c r="R91" s="135"/>
      <c r="S91" s="135"/>
      <c r="T91" s="135"/>
      <c r="U91" s="135"/>
      <c r="V91" s="135"/>
      <c r="X91" s="358"/>
      <c r="Y91" s="359"/>
      <c r="Z91" s="31"/>
      <c r="AA91" s="360"/>
      <c r="AB91" s="361"/>
    </row>
    <row r="92" spans="2:28" hidden="1">
      <c r="B92" s="76"/>
      <c r="C92" s="79"/>
      <c r="D92" s="79"/>
      <c r="E92" s="7"/>
      <c r="F92" s="7"/>
      <c r="G92" s="7"/>
      <c r="H92" s="7"/>
      <c r="I92" s="7"/>
      <c r="J92" s="69">
        <f>IF(ISERROR(J78-J42-J43-J44-J45-J46-J47-J48-J49-J50-J51-J52-J53-J54-J55),0,J78-J42-J43-J44-J45-J46-J47-J48-J49-J50-J51-J52-J53-J54-J55)</f>
        <v>0</v>
      </c>
      <c r="K92" s="69">
        <f>IF(ISERROR(K78-K42-K43-K44-K45-K46-K47-K48-K49-K50-K51-K52-K53-K54-K55),0,K78-K42-K43-K44-K45-K46-K47-K48-K49-K50-K51-K52-K53-K54-K55)</f>
        <v>0</v>
      </c>
      <c r="L92" s="69">
        <f>IF(ISERROR(L78-L42-L43-L44-L45-L46-L47-L48-L49-L50-L51-L52-L53-L54-L55),0,L78-L42-L43-L44-L45-L46-L47-L48-L49-L50-L51-L52-L53-L54-L55)</f>
        <v>0</v>
      </c>
      <c r="M92" s="69">
        <f>IF(ISERROR(M78-M42-M43-M44-M45-M46-M47-M48-M49-M50-M51-M52-M53-M54-M55),0,M78-M42-M43-M44-M45-M46-M47-M48-M49-M50-M51-M52-M53-M54-M55)</f>
        <v>0</v>
      </c>
      <c r="N92" s="69">
        <f t="shared" si="18"/>
        <v>0</v>
      </c>
      <c r="O92" s="135"/>
      <c r="P92" s="135"/>
      <c r="Q92" s="135"/>
      <c r="R92" s="135"/>
      <c r="S92" s="135"/>
      <c r="T92" s="135"/>
      <c r="U92" s="135"/>
      <c r="V92" s="135"/>
      <c r="X92" s="358"/>
      <c r="Y92" s="359"/>
      <c r="Z92" s="31"/>
      <c r="AA92" s="360"/>
      <c r="AB92" s="361"/>
    </row>
    <row r="93" spans="2:28" hidden="1">
      <c r="B93" s="76"/>
      <c r="C93" s="79"/>
      <c r="D93" s="79"/>
      <c r="E93" s="7"/>
      <c r="F93" s="7"/>
      <c r="G93" s="7"/>
      <c r="H93" s="7"/>
      <c r="I93" s="7"/>
      <c r="J93" s="69">
        <f>IF(ISERROR(J78-J42-J43-J44-J45-J46-J47-J48-J49-J50-J51-J52-J53-J54-J55-J56),0,J78-J42-J43-J44-J45-J46-J47-J48-J49-J50-J51-J52-J53-J54-J55-J56)</f>
        <v>0</v>
      </c>
      <c r="K93" s="69">
        <f>IF(ISERROR(K78-K42-K43-K44-K45-K46-K47-K48-K49-K50-K51-K52-K53-K54-K55-K56),0,K78-K42-K43-K44-K45-K46-K47-K48-K49-K50-K51-K52-K53-K54-K55-K56)</f>
        <v>0</v>
      </c>
      <c r="L93" s="69">
        <f>IF(ISERROR(L78-L42-L43-L44-L45-L46-L47-L48-L49-L50-L51-L52-L53-L54-L55-L56),0,L78-L42-L43-L44-L45-L46-L47-L48-L49-L50-L51-L52-L53-L54-L55-L56)</f>
        <v>0</v>
      </c>
      <c r="M93" s="69">
        <f>IF(ISERROR(M78-M42-M43-M44-M45-M46-M47-M48-M49-M50-M51-M52-M53-M54-M55-M56),0,M78-M42-M43-M44-M45-M46-M47-M48-M49-M50-M51-M52-M53-M54-M55-M56)</f>
        <v>0</v>
      </c>
      <c r="N93" s="69">
        <f t="shared" si="18"/>
        <v>0</v>
      </c>
      <c r="O93" s="135"/>
      <c r="P93" s="135"/>
      <c r="Q93" s="135"/>
      <c r="R93" s="135"/>
      <c r="S93" s="135"/>
      <c r="T93" s="135"/>
      <c r="U93" s="135"/>
      <c r="V93" s="135"/>
      <c r="X93" s="358"/>
      <c r="Y93" s="359"/>
      <c r="Z93" s="31"/>
      <c r="AA93" s="360"/>
      <c r="AB93" s="361"/>
    </row>
    <row r="94" spans="2:28" hidden="1">
      <c r="B94" s="76"/>
      <c r="C94" s="79"/>
      <c r="D94" s="79"/>
      <c r="E94" s="7"/>
      <c r="F94" s="7"/>
      <c r="G94" s="7"/>
      <c r="H94" s="7"/>
      <c r="I94" s="7"/>
      <c r="J94" s="69">
        <f>IF(ISERROR(J78-J42-J43-J44-J45-J46-J47-J48-J49-J50-J51-J52-J53-J54-J55-J56-J57),0,J78-J42-J43-J44-J45-J46-J47-J48-J49-J50-J51-J52-J53-J54-J55-J56-J57)</f>
        <v>0</v>
      </c>
      <c r="K94" s="69">
        <f>IF(ISERROR(K78-K42-K43-K44-K45-K46-K47-K48-K49-K50-K51-K52-K53-K54-K55-K56-K57),0,K78-K42-K43-K44-K45-K46-K47-K48-K49-K50-K51-K52-K53-K54-K55-K56-K57)</f>
        <v>0</v>
      </c>
      <c r="L94" s="69">
        <f>IF(ISERROR(L78-L42-L43-L44-L45-L46-L47-L48-L49-L50-L51-L52-L53-L54-L55-L56-L57),0,L78-L42-L43-L44-L45-L46-L47-L48-L49-L50-L51-L52-L53-L54-L55-L56-L57)</f>
        <v>0</v>
      </c>
      <c r="M94" s="69">
        <f>IF(ISERROR(M78-M42-M43-M44-M45-M46-M47-M48-M49-M50-M51-M52-M53-M54-M55-M56-M57),0,M78-M42-M43-M44-M45-M46-M47-M48-M49-M50-M51-M52-M53-M54-M55-M56-M57)</f>
        <v>0</v>
      </c>
      <c r="N94" s="69">
        <f t="shared" si="18"/>
        <v>0</v>
      </c>
      <c r="O94" s="135"/>
      <c r="P94" s="135"/>
      <c r="Q94" s="135"/>
      <c r="R94" s="135"/>
      <c r="S94" s="135"/>
      <c r="T94" s="135"/>
      <c r="U94" s="135"/>
      <c r="V94" s="135"/>
      <c r="X94" s="358"/>
      <c r="Y94" s="359"/>
      <c r="Z94" s="31"/>
      <c r="AA94" s="360"/>
      <c r="AB94" s="361"/>
    </row>
    <row r="95" spans="2:28" hidden="1">
      <c r="B95" s="76"/>
      <c r="C95" s="79"/>
      <c r="D95" s="79"/>
      <c r="E95" s="7"/>
      <c r="F95" s="7"/>
      <c r="G95" s="7"/>
      <c r="H95" s="7"/>
      <c r="I95" s="7"/>
      <c r="J95" s="69">
        <f>IF(ISERROR(J78-J42-J43-J44-J45-J46-J47-J48-J49-J50-J51-J52-J53-J54-J55-J56-J57-J58),0,J78-J42-J43-J44-J45-J46-J47-J48-J49-J50-J51-J52-J53-J54-J55-J56-J57-J58)</f>
        <v>0</v>
      </c>
      <c r="K95" s="69">
        <f>IF(ISERROR(K78-K42-K43-K44-K45-K46-K47-K48-K49-K50-K51-K52-K53-K54-K55-K56-K57-K58),0,K78-K42-K43-K44-K45-K46-K47-K48-K49-K50-K51-K52-K53-K54-K55-K56-K57-K58)</f>
        <v>0</v>
      </c>
      <c r="L95" s="69">
        <f>IF(ISERROR(L78-L42-L43-L44-L45-L46-L47-L48-L49-L50-L51-L52-L53-L54-L55-L56-L57-L58),0,L78-L42-L43-L44-L45-L46-L47-L48-L49-L50-L51-L52-L53-L54-L55-L56-L57-L58)</f>
        <v>0</v>
      </c>
      <c r="M95" s="69">
        <f>IF(ISERROR(M78-M42-M43-M44-M45-M46-M47-M48-M49-M50-M51-M52-M53-M54-M55-M56-M57-M58),0,M78-M42-M43-M44-M45-M46-M47-M48-M49-M50-M51-M52-M53-M54-M55-M56-M57-M58)</f>
        <v>0</v>
      </c>
      <c r="N95" s="69">
        <f t="shared" si="18"/>
        <v>0</v>
      </c>
      <c r="O95" s="135"/>
      <c r="P95" s="135"/>
      <c r="Q95" s="135"/>
      <c r="R95" s="135"/>
      <c r="S95" s="135"/>
      <c r="T95" s="135"/>
      <c r="U95" s="135"/>
      <c r="V95" s="135"/>
      <c r="X95" s="358"/>
      <c r="Y95" s="359"/>
      <c r="Z95" s="31"/>
      <c r="AA95" s="360"/>
      <c r="AB95" s="361"/>
    </row>
    <row r="96" spans="2:28" hidden="1">
      <c r="B96" s="76"/>
      <c r="C96" s="79"/>
      <c r="D96" s="79"/>
      <c r="E96" s="7"/>
      <c r="F96" s="7"/>
      <c r="G96" s="7"/>
      <c r="H96" s="7"/>
      <c r="I96" s="7"/>
      <c r="J96" s="69">
        <f>IF(ISERROR(J78-J42-J43-J44-J45-J46-J47-J48-J49-J50-J51-J52-J53-J54-J55-J56-J57-J58-J59),0,J78-J42-J43-J44-J45-J46-J47-J48-J49-J50-J51-J52-J53-J54-J55-J56-J57-J58-J59)</f>
        <v>0</v>
      </c>
      <c r="K96" s="69">
        <f>IF(ISERROR(K78-K42-K43-K44-K45-K46-K47-K48-K49-K50-K51-K52-K53-K54-K55-K56-K57-K58-K59),0,K78-K42-K43-K44-K45-K46-K47-K48-K49-K50-K51-K52-K53-K54-K55-K56-K57-K58-K59)</f>
        <v>0</v>
      </c>
      <c r="L96" s="69">
        <f>IF(ISERROR(L78-L42-L43-L44-L45-L46-L47-L48-L49-L50-L51-L52-L53-L54-L55-L56-L57-L58-L59),0,L78-L42-L43-L44-L45-L46-L47-L48-L49-L50-L51-L52-L53-L54-L55-L56-L57-L58-L59)</f>
        <v>0</v>
      </c>
      <c r="M96" s="69">
        <f>IF(ISERROR(M78-M42-M43-M44-M45-M46-M47-M48-M49-M50-M51-M52-M53-M54-M55-M56-M57-M58-M59),0,M78-M42-M43-M44-M45-M46-M47-M48-M49-M50-M51-M52-M53-M54-M55-M56-M57-M58-M59)</f>
        <v>0</v>
      </c>
      <c r="N96" s="69">
        <f t="shared" si="18"/>
        <v>0</v>
      </c>
      <c r="O96" s="135"/>
      <c r="P96" s="135"/>
      <c r="Q96" s="135"/>
      <c r="R96" s="135"/>
      <c r="S96" s="135"/>
      <c r="T96" s="135"/>
      <c r="U96" s="135"/>
      <c r="V96" s="135"/>
      <c r="X96" s="358"/>
      <c r="Y96" s="359"/>
      <c r="Z96" s="31"/>
      <c r="AA96" s="360"/>
      <c r="AB96" s="361"/>
    </row>
    <row r="97" spans="2:28" hidden="1">
      <c r="B97" s="76"/>
      <c r="C97" s="79"/>
      <c r="D97" s="79"/>
      <c r="E97" s="7"/>
      <c r="F97" s="7"/>
      <c r="G97" s="7"/>
      <c r="H97" s="7"/>
      <c r="I97" s="7"/>
      <c r="J97" s="69">
        <f>IF(ISERROR(J78-J42-J43-J44-J45-J46-J47-J48-J49-J50-J51-J52-J53-J54-J55-J56-J57-J58-J59-J60),0,J78-J42-J43-J44-J45-J46-J47-J48-J49-J50-J51-J52-J53-J54-J55-J56-J57-J58-J59-J60)</f>
        <v>0</v>
      </c>
      <c r="K97" s="69">
        <f>IF(ISERROR(K78-K42-K43-K44-K45-K46-K47-K48-K49-K50-K51-K52-K53-K54-K55-K56-K57-K58-K59-K60),0,K78-K42-K43-K44-K45-K46-K47-K48-K49-K50-K51-K52-K53-K54-K55-K56-K57-K58-K59-K60)</f>
        <v>0</v>
      </c>
      <c r="L97" s="69">
        <f>IF(ISERROR(L78-L42-L43-L44-L45-L46-L47-L48-L49-L50-L51-L52-L53-L54-L55-L56-L57-L58-L59-L60),0,L78-L42-L43-L44-L45-L46-L47-L48-L49-L50-L51-L52-L53-L54-L55-L56-L57-L58-L59-L60)</f>
        <v>0</v>
      </c>
      <c r="M97" s="69">
        <f>IF(ISERROR(M78-M42-M43-M44-M45-M46-M47-M48-M49-M50-M51-M52-M53-M54-M55-M56-M57-M58-M59-M60),0,M78-M42-M43-M44-M45-M46-M47-M48-M49-M50-M51-M52-M53-M54-M55-M56-M57-M58-M59-M60)</f>
        <v>0</v>
      </c>
      <c r="N97" s="69">
        <f t="shared" si="18"/>
        <v>0</v>
      </c>
      <c r="O97" s="135"/>
      <c r="P97" s="135"/>
      <c r="Q97" s="135"/>
      <c r="R97" s="135"/>
      <c r="S97" s="135"/>
      <c r="T97" s="135"/>
      <c r="U97" s="135"/>
      <c r="V97" s="135"/>
      <c r="X97" s="358"/>
      <c r="Y97" s="359"/>
      <c r="Z97" s="31"/>
      <c r="AA97" s="360"/>
      <c r="AB97" s="361"/>
    </row>
    <row r="98" spans="2:28" hidden="1">
      <c r="B98" s="62"/>
      <c r="C98" s="63"/>
      <c r="D98" s="63"/>
      <c r="E98" s="2"/>
      <c r="F98" s="2"/>
      <c r="G98" s="2"/>
      <c r="H98" s="2"/>
      <c r="I98" s="2"/>
      <c r="J98" s="69">
        <f>IF(ISERROR(J78-J42-J43-J44-J45-J46-J47-J48-J49-J50-J51-J52-J53-J54-J55-J56-J57-J58-J59-J60-J61),0,J78-J42-J43-J44-J45-J46-J47-J48-J49-J50-J51-J52-J53-J54-J55-J56-J57-J58-J59-J60-J61)</f>
        <v>0</v>
      </c>
      <c r="K98" s="69">
        <f>IF(ISERROR(K78-K42-K43-K44-K45-K46-K47-K48-K49-K50-K51-K52-K53-K54-K55-K56-K57-K58-K59-K60-K61),0,K78-K42-K43-K44-K45-K46-K47-K48-K49-K50-K51-K52-K53-K54-K55-K56-K57-K58-K59-K60-K61)</f>
        <v>0</v>
      </c>
      <c r="L98" s="69">
        <f>IF(ISERROR(L78-L42-L43-L44-L45-L46-L47-L48-L49-L50-L51-L52-L53-L54-L55-L56-L57-L58-L59-L60-L61),0,L78-L42-L43-L44-L45-L46-L47-L48-L49-L50-L51-L52-L53-L54-L55-L56-L57-L58-L59-L60-L61)</f>
        <v>0</v>
      </c>
      <c r="M98" s="69">
        <f>IF(ISERROR(M78-M42-M43-M44-M45-M46-M47-M48-M49-M50-M51-M52-M53-M54-M55-M56-M57-M58-M59-M60-M61),0,M78-M42-M43-M44-M45-M46-M47-M48-M49-M50-M51-M52-M53-M54-M55-M56-M57-M58-M59-M60-M61)</f>
        <v>0</v>
      </c>
      <c r="N98" s="69">
        <f t="shared" si="18"/>
        <v>0</v>
      </c>
      <c r="O98" s="135"/>
      <c r="P98" s="135"/>
      <c r="Q98" s="135"/>
      <c r="R98" s="135"/>
      <c r="S98" s="135"/>
      <c r="T98" s="135"/>
      <c r="U98" s="135"/>
      <c r="V98" s="135"/>
      <c r="X98" s="81"/>
      <c r="Y98" s="82"/>
      <c r="Z98" s="82"/>
      <c r="AA98" s="82"/>
      <c r="AB98" s="83"/>
    </row>
    <row r="99" spans="2:28" hidden="1"/>
    <row r="100" spans="2:28" hidden="1"/>
    <row r="101" spans="2:28" hidden="1"/>
  </sheetData>
  <sheetProtection password="C7E2" sheet="1" objects="1" scenarios="1"/>
  <mergeCells count="50">
    <mergeCell ref="AF23:AN23"/>
    <mergeCell ref="AN15:AN17"/>
    <mergeCell ref="AF18:AG21"/>
    <mergeCell ref="AH18:AJ21"/>
    <mergeCell ref="AK18:AK21"/>
    <mergeCell ref="AL18:AL21"/>
    <mergeCell ref="AM18:AM21"/>
    <mergeCell ref="AN18:AN21"/>
    <mergeCell ref="AF24:AN24"/>
    <mergeCell ref="AF25:AN25"/>
    <mergeCell ref="AF1:AN1"/>
    <mergeCell ref="AF2:AG3"/>
    <mergeCell ref="AH2:AJ3"/>
    <mergeCell ref="AK2:AK3"/>
    <mergeCell ref="AL2:AL3"/>
    <mergeCell ref="AM2:AM3"/>
    <mergeCell ref="AN2:AN3"/>
    <mergeCell ref="AF4:AG8"/>
    <mergeCell ref="AH4:AJ8"/>
    <mergeCell ref="AK4:AK8"/>
    <mergeCell ref="AL4:AL8"/>
    <mergeCell ref="AM4:AM8"/>
    <mergeCell ref="AF12:AG14"/>
    <mergeCell ref="AH12:AJ14"/>
    <mergeCell ref="AK12:AK14"/>
    <mergeCell ref="AL12:AL14"/>
    <mergeCell ref="AM12:AM14"/>
    <mergeCell ref="AN12:AN14"/>
    <mergeCell ref="AF15:AG17"/>
    <mergeCell ref="AH15:AJ17"/>
    <mergeCell ref="AK15:AK17"/>
    <mergeCell ref="AL15:AL17"/>
    <mergeCell ref="AM15:AM17"/>
    <mergeCell ref="AN4:AN8"/>
    <mergeCell ref="AF9:AG11"/>
    <mergeCell ref="AH9:AJ11"/>
    <mergeCell ref="AK9:AK11"/>
    <mergeCell ref="AL9:AL11"/>
    <mergeCell ref="AM9:AM11"/>
    <mergeCell ref="AN9:AN11"/>
    <mergeCell ref="Z21:AB21"/>
    <mergeCell ref="X21:Y21"/>
    <mergeCell ref="D11:G12"/>
    <mergeCell ref="D9:G10"/>
    <mergeCell ref="D7:E8"/>
    <mergeCell ref="D2:L2"/>
    <mergeCell ref="A65:N67"/>
    <mergeCell ref="D20:F21"/>
    <mergeCell ref="R65:T65"/>
    <mergeCell ref="R66:T67"/>
  </mergeCells>
  <phoneticPr fontId="0" type="noConversion"/>
  <conditionalFormatting sqref="N21">
    <cfRule type="cellIs" dxfId="1" priority="1" stopIfTrue="1" operator="equal">
      <formula>"Yes"</formula>
    </cfRule>
  </conditionalFormatting>
  <dataValidations count="8">
    <dataValidation type="whole" allowBlank="1" showInputMessage="1" showErrorMessage="1" errorTitle="Scale Validation" error="You must enter a valid scale, between zero and nine." sqref="E31">
      <formula1>0</formula1>
      <formula2>9</formula2>
    </dataValidation>
    <dataValidation type="whole" allowBlank="1" showInputMessage="1" showErrorMessage="1" errorTitle="Assistant error" error="You must enter a valid step level for Asst. Prof, between 1 and 6." sqref="E33">
      <formula1>1</formula1>
      <formula2>6</formula2>
    </dataValidation>
    <dataValidation type="whole" allowBlank="1" showInputMessage="1" showErrorMessage="1" errorTitle="Assoc Error" error="You must enter a valid step level for Assoc Prof, between 1 and 5." sqref="E34">
      <formula1>1</formula1>
      <formula2>5</formula2>
    </dataValidation>
    <dataValidation type="whole" allowBlank="1" showInputMessage="1" showErrorMessage="1" errorTitle="Prof Error" error="You must enter a valid step level for Professor, between 1 and 9." sqref="E35">
      <formula1>1</formula1>
      <formula2>9</formula2>
    </dataValidation>
    <dataValidation type="decimal" allowBlank="1" showInputMessage="1" showErrorMessage="1" errorTitle="Percent Error" error="You must enter a decimal number between 0 and 1, such as .60 to denote 60% time." sqref="E30">
      <formula1>0</formula1>
      <formula2>1</formula2>
    </dataValidation>
    <dataValidation type="decimal" allowBlank="1" showInputMessage="1" showErrorMessage="1" errorTitle="Target Percent" error="You must enter a valid percentage." sqref="F42:F61">
      <formula1>0</formula1>
      <formula2>1</formula2>
    </dataValidation>
    <dataValidation allowBlank="1" showInputMessage="1" showErrorMessage="1" errorTitle="Scale Validation" error="You must enter the letter &quot;x&quot; to calculate for Instructor." sqref="E32"/>
    <dataValidation type="whole" allowBlank="1" showInputMessage="1" showErrorMessage="1" error="Please enter a number between 9 and 20 to denote the appropriate salary cap." sqref="A42:A61">
      <formula1>9</formula1>
      <formula2>21</formula2>
    </dataValidation>
  </dataValidations>
  <hyperlinks>
    <hyperlink ref="F25" location="GenlInstr!D9" display="GenlInstr!D9"/>
    <hyperlink ref="A38" location="GenlInstr!B11" display="GenlInstr!B11"/>
    <hyperlink ref="P38" location="GenlInstr!D11" display="GenlInstr!D11"/>
    <hyperlink ref="A63" location="GenlInstr!F11" display="GenlInstr!F11"/>
    <hyperlink ref="L4" location="GenlInstr!F9" display="GenlInstr!F9"/>
    <hyperlink ref="F30" location="GenlInstr!B10" display="GenlInstr!B10"/>
    <hyperlink ref="F31" location="GenlInstr!D10" display="GenlInstr!D10"/>
    <hyperlink ref="F32" location="GenlInstr!F10" display="GenlInstr!F10"/>
    <hyperlink ref="F8" location="GenlInstr!B9" display="GenlInstr!B9"/>
    <hyperlink ref="AF23" r:id="rId1"/>
    <hyperlink ref="AG23" r:id="rId2" display="http://report.nih.gov/FileLink.aspx?rid=824"/>
    <hyperlink ref="AH23" r:id="rId3" display="http://report.nih.gov/FileLink.aspx?rid=824"/>
    <hyperlink ref="AI23" r:id="rId4" display="http://report.nih.gov/FileLink.aspx?rid=824"/>
    <hyperlink ref="AJ23" r:id="rId5" display="http://report.nih.gov/FileLink.aspx?rid=824"/>
    <hyperlink ref="AK23" r:id="rId6" display="http://report.nih.gov/FileLink.aspx?rid=824"/>
    <hyperlink ref="AF24" r:id="rId7"/>
    <hyperlink ref="AK26" r:id="rId8"/>
    <hyperlink ref="AM26" r:id="rId9"/>
  </hyperlinks>
  <pageMargins left="0.2" right="0.2" top="0.25" bottom="0.25" header="0.33" footer="0.5"/>
  <pageSetup scale="66" orientation="landscape" horizontalDpi="4294967292" verticalDpi="4294967292"/>
  <headerFooter>
    <oddFooter>&amp;L&amp;8Printed:  &amp;D @ &amp;T</oddFooter>
  </headerFooter>
  <drawing r:id="rId10"/>
  <legacyDrawing r:id="rId1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enableFormatConditionsCalculation="0">
    <pageSetUpPr fitToPage="1"/>
  </sheetPr>
  <dimension ref="A1:AN99"/>
  <sheetViews>
    <sheetView showGridLines="0" showZeros="0" topLeftCell="A8" zoomScale="125" zoomScaleNormal="125" zoomScalePageLayoutView="125" workbookViewId="0">
      <selection activeCell="Q25" sqref="Q25"/>
    </sheetView>
  </sheetViews>
  <sheetFormatPr baseColWidth="10" defaultColWidth="8.83203125" defaultRowHeight="12" x14ac:dyDescent="0"/>
  <cols>
    <col min="1" max="1" width="4.6640625" style="47" customWidth="1"/>
    <col min="2" max="2" width="8.6640625" customWidth="1"/>
    <col min="3" max="3" width="8.33203125" customWidth="1"/>
    <col min="4" max="4" width="9.33203125" customWidth="1"/>
    <col min="5" max="5" width="14.6640625" customWidth="1"/>
    <col min="6" max="6" width="9" customWidth="1"/>
    <col min="7" max="7" width="9.33203125" customWidth="1"/>
    <col min="8" max="8" width="10.5" customWidth="1"/>
    <col min="9" max="9" width="8.33203125" bestFit="1" customWidth="1"/>
    <col min="10" max="10" width="10.5" customWidth="1"/>
    <col min="11" max="11" width="8.6640625" customWidth="1"/>
    <col min="13" max="13" width="9" customWidth="1"/>
    <col min="14" max="14" width="11" customWidth="1"/>
    <col min="15" max="15" width="0.83203125" customWidth="1"/>
    <col min="16" max="16" width="11.1640625" customWidth="1"/>
    <col min="17" max="17" width="8" customWidth="1"/>
    <col min="19" max="19" width="8.83203125" customWidth="1"/>
    <col min="20" max="20" width="8" customWidth="1"/>
    <col min="21" max="22" width="8" hidden="1" customWidth="1"/>
    <col min="23" max="23" width="9.1640625" hidden="1" customWidth="1"/>
    <col min="24" max="24" width="8.33203125" hidden="1" customWidth="1"/>
    <col min="25" max="25" width="10.5" hidden="1" customWidth="1"/>
    <col min="26" max="27" width="10.33203125" hidden="1" customWidth="1"/>
    <col min="28" max="28" width="9" hidden="1" customWidth="1"/>
    <col min="29" max="29" width="0" hidden="1" customWidth="1"/>
    <col min="37" max="37" width="17.5" customWidth="1"/>
    <col min="38" max="38" width="21.1640625" customWidth="1"/>
    <col min="39" max="39" width="27" customWidth="1"/>
    <col min="40" max="40" width="24.83203125" customWidth="1"/>
  </cols>
  <sheetData>
    <row r="1" spans="1:40" ht="51" customHeight="1" thickBot="1">
      <c r="A1" s="242"/>
      <c r="B1" s="513" t="s">
        <v>154</v>
      </c>
      <c r="C1" s="243"/>
      <c r="D1" s="243"/>
      <c r="E1" s="243"/>
      <c r="F1" s="243"/>
      <c r="G1" s="243"/>
      <c r="H1" s="243"/>
      <c r="I1" s="243"/>
      <c r="J1" s="243"/>
      <c r="K1" s="243"/>
      <c r="L1" s="243"/>
      <c r="M1" s="243"/>
      <c r="N1" s="243"/>
      <c r="O1" s="55"/>
      <c r="P1" s="244"/>
      <c r="Q1" s="55"/>
      <c r="R1" s="55"/>
      <c r="S1" s="55"/>
      <c r="T1" s="55"/>
      <c r="U1" s="55"/>
      <c r="V1" s="55"/>
      <c r="AF1" s="581" t="s">
        <v>156</v>
      </c>
      <c r="AG1" s="581"/>
      <c r="AH1" s="581"/>
      <c r="AI1" s="581"/>
      <c r="AJ1" s="581"/>
      <c r="AK1" s="581"/>
      <c r="AL1" s="581"/>
      <c r="AM1" s="581"/>
      <c r="AN1" s="581"/>
    </row>
    <row r="2" spans="1:40" ht="26.25" customHeight="1" thickBot="1">
      <c r="D2" s="583" t="s">
        <v>195</v>
      </c>
      <c r="E2" s="583"/>
      <c r="F2" s="583"/>
      <c r="G2" s="583"/>
      <c r="H2" s="583"/>
      <c r="I2" s="583"/>
      <c r="J2" s="583"/>
      <c r="K2" s="583"/>
      <c r="L2" s="583"/>
      <c r="AF2" s="574" t="s">
        <v>157</v>
      </c>
      <c r="AG2" s="575"/>
      <c r="AH2" s="575" t="s">
        <v>158</v>
      </c>
      <c r="AI2" s="575"/>
      <c r="AJ2" s="575"/>
      <c r="AK2" s="575" t="s">
        <v>159</v>
      </c>
      <c r="AL2" s="575" t="s">
        <v>160</v>
      </c>
      <c r="AM2" s="575" t="s">
        <v>185</v>
      </c>
      <c r="AN2" s="621" t="s">
        <v>162</v>
      </c>
    </row>
    <row r="3" spans="1:40" ht="5" customHeight="1" thickTop="1" thickBot="1">
      <c r="A3" s="152"/>
      <c r="B3" s="36"/>
      <c r="C3" s="36"/>
      <c r="D3" s="36"/>
      <c r="E3" s="36"/>
      <c r="F3" s="36"/>
      <c r="G3" s="36"/>
      <c r="H3" s="36"/>
      <c r="I3" s="36"/>
      <c r="J3" s="36"/>
      <c r="K3" s="36"/>
      <c r="L3" s="36"/>
      <c r="M3" s="36"/>
      <c r="N3" s="36"/>
      <c r="O3" s="36"/>
      <c r="P3" s="50"/>
      <c r="Q3" s="35"/>
      <c r="R3" s="35"/>
      <c r="S3" s="35"/>
      <c r="T3" s="35"/>
      <c r="U3" s="35"/>
      <c r="V3" s="35"/>
      <c r="AF3" s="576"/>
      <c r="AG3" s="577"/>
      <c r="AH3" s="577"/>
      <c r="AI3" s="577"/>
      <c r="AJ3" s="577"/>
      <c r="AK3" s="577"/>
      <c r="AL3" s="577"/>
      <c r="AM3" s="577"/>
      <c r="AN3" s="622"/>
    </row>
    <row r="4" spans="1:40">
      <c r="A4" s="64"/>
      <c r="B4" s="212" t="s">
        <v>125</v>
      </c>
      <c r="C4" s="73"/>
      <c r="D4" s="73"/>
      <c r="E4" s="35"/>
      <c r="F4" s="35"/>
      <c r="G4" s="35"/>
      <c r="H4" s="35"/>
      <c r="I4" s="35"/>
      <c r="J4" s="35"/>
      <c r="K4" s="35"/>
      <c r="M4" s="266"/>
      <c r="N4" s="382" t="s">
        <v>119</v>
      </c>
      <c r="O4" s="378"/>
      <c r="P4" s="380" t="s">
        <v>118</v>
      </c>
      <c r="Q4" s="35"/>
      <c r="R4" s="35"/>
      <c r="S4" s="35"/>
      <c r="T4" s="35"/>
      <c r="U4" s="35"/>
      <c r="V4" s="35"/>
      <c r="AF4" s="578" t="s">
        <v>163</v>
      </c>
      <c r="AG4" s="579"/>
      <c r="AH4" s="623" t="s">
        <v>164</v>
      </c>
      <c r="AI4" s="624"/>
      <c r="AJ4" s="579"/>
      <c r="AK4" s="625" t="s">
        <v>186</v>
      </c>
      <c r="AL4" s="626" t="s">
        <v>165</v>
      </c>
      <c r="AM4" s="626" t="s">
        <v>166</v>
      </c>
      <c r="AN4" s="627" t="s">
        <v>167</v>
      </c>
    </row>
    <row r="5" spans="1:40" hidden="1">
      <c r="A5" s="64"/>
      <c r="B5" s="212"/>
      <c r="H5" s="35"/>
      <c r="I5" s="35"/>
      <c r="J5" s="35"/>
      <c r="K5" s="35"/>
      <c r="L5" s="136"/>
      <c r="M5" s="383"/>
      <c r="N5" s="88"/>
      <c r="O5" s="35"/>
      <c r="P5" s="381"/>
      <c r="Q5" s="35"/>
      <c r="R5" s="35"/>
      <c r="S5" s="35"/>
      <c r="T5" s="35"/>
      <c r="U5" s="35"/>
      <c r="V5" s="35"/>
      <c r="AF5" s="552"/>
      <c r="AG5" s="553"/>
      <c r="AH5" s="560"/>
      <c r="AI5" s="561"/>
      <c r="AJ5" s="553"/>
      <c r="AK5" s="547"/>
      <c r="AL5" s="547"/>
      <c r="AM5" s="547"/>
      <c r="AN5" s="569"/>
    </row>
    <row r="6" spans="1:40" hidden="1">
      <c r="A6" s="64"/>
      <c r="B6" s="31"/>
      <c r="G6" s="159"/>
      <c r="H6" s="159"/>
      <c r="I6" s="53"/>
      <c r="L6" s="413"/>
      <c r="M6" s="383"/>
      <c r="N6" s="88"/>
      <c r="O6" s="35"/>
      <c r="P6" s="414"/>
      <c r="Q6" s="49"/>
      <c r="R6" s="49"/>
      <c r="S6" s="49"/>
      <c r="T6" s="49"/>
      <c r="U6" s="49"/>
      <c r="V6" s="49"/>
      <c r="AF6" s="552"/>
      <c r="AG6" s="553"/>
      <c r="AH6" s="560"/>
      <c r="AI6" s="561"/>
      <c r="AJ6" s="553"/>
      <c r="AK6" s="547"/>
      <c r="AL6" s="547"/>
      <c r="AM6" s="547"/>
      <c r="AN6" s="569"/>
    </row>
    <row r="7" spans="1:40" ht="12.75" customHeight="1">
      <c r="A7" s="64"/>
      <c r="B7" s="31"/>
      <c r="C7" s="341" t="s">
        <v>113</v>
      </c>
      <c r="D7" s="651"/>
      <c r="E7" s="652"/>
      <c r="H7" s="159"/>
      <c r="I7" s="53"/>
      <c r="J7" s="35"/>
      <c r="K7" s="35"/>
      <c r="L7" s="413" t="s">
        <v>126</v>
      </c>
      <c r="M7" s="383">
        <v>9</v>
      </c>
      <c r="N7" s="88">
        <v>166700</v>
      </c>
      <c r="O7" s="35"/>
      <c r="P7" s="414">
        <f t="shared" ref="P7:P17" si="0">N7/12</f>
        <v>13891.666666666666</v>
      </c>
      <c r="Q7" s="35"/>
      <c r="R7" s="35"/>
      <c r="S7" s="35"/>
      <c r="T7" s="35"/>
      <c r="U7" s="35"/>
      <c r="V7" s="35"/>
      <c r="X7" s="110" t="s">
        <v>30</v>
      </c>
      <c r="AA7" s="110" t="s">
        <v>39</v>
      </c>
      <c r="AB7" s="127">
        <f>SUM(Z35:AB35)</f>
        <v>0</v>
      </c>
      <c r="AF7" s="552"/>
      <c r="AG7" s="553"/>
      <c r="AH7" s="560"/>
      <c r="AI7" s="561"/>
      <c r="AJ7" s="553"/>
      <c r="AK7" s="547"/>
      <c r="AL7" s="547"/>
      <c r="AM7" s="547"/>
      <c r="AN7" s="569"/>
    </row>
    <row r="8" spans="1:40" ht="12.75" customHeight="1">
      <c r="A8" s="64"/>
      <c r="B8" s="31"/>
      <c r="C8" s="136"/>
      <c r="D8" s="653"/>
      <c r="E8" s="654"/>
      <c r="F8" s="342" t="s">
        <v>81</v>
      </c>
      <c r="H8" s="159"/>
      <c r="I8" s="53"/>
      <c r="J8" s="35"/>
      <c r="K8" s="35"/>
      <c r="L8" s="413" t="s">
        <v>127</v>
      </c>
      <c r="M8" s="383">
        <v>10</v>
      </c>
      <c r="N8" s="88">
        <v>171900</v>
      </c>
      <c r="O8" s="35"/>
      <c r="P8" s="414">
        <f t="shared" si="0"/>
        <v>14325</v>
      </c>
      <c r="Q8" s="35"/>
      <c r="R8" s="35"/>
      <c r="S8" s="35"/>
      <c r="T8" s="35"/>
      <c r="U8" s="35"/>
      <c r="V8" s="35"/>
      <c r="X8" s="110"/>
      <c r="AA8" s="110"/>
      <c r="AB8" s="127"/>
      <c r="AF8" s="554"/>
      <c r="AG8" s="555"/>
      <c r="AH8" s="562"/>
      <c r="AI8" s="563"/>
      <c r="AJ8" s="555"/>
      <c r="AK8" s="548"/>
      <c r="AL8" s="548"/>
      <c r="AM8" s="548"/>
      <c r="AN8" s="570"/>
    </row>
    <row r="9" spans="1:40" ht="12.75" customHeight="1">
      <c r="A9" s="64"/>
      <c r="B9" s="31"/>
      <c r="C9" s="136" t="s">
        <v>44</v>
      </c>
      <c r="D9" s="635"/>
      <c r="E9" s="636"/>
      <c r="F9" s="636"/>
      <c r="G9" s="637"/>
      <c r="H9" s="159"/>
      <c r="I9" s="53"/>
      <c r="J9" s="35"/>
      <c r="K9" s="35"/>
      <c r="L9" s="413" t="s">
        <v>129</v>
      </c>
      <c r="M9" s="383">
        <v>11</v>
      </c>
      <c r="N9" s="88">
        <v>175700</v>
      </c>
      <c r="O9" s="35"/>
      <c r="P9" s="414">
        <f t="shared" si="0"/>
        <v>14641.666666666666</v>
      </c>
      <c r="Q9" s="35"/>
      <c r="R9" s="35"/>
      <c r="S9" s="35"/>
      <c r="T9" s="35"/>
      <c r="U9" s="35"/>
      <c r="V9" s="35"/>
      <c r="X9" s="110"/>
      <c r="AA9" s="110"/>
      <c r="AB9" s="127"/>
      <c r="AF9" s="580" t="s">
        <v>168</v>
      </c>
      <c r="AG9" s="567"/>
      <c r="AH9" s="567" t="s">
        <v>169</v>
      </c>
      <c r="AI9" s="567"/>
      <c r="AJ9" s="567"/>
      <c r="AK9" s="566" t="s">
        <v>187</v>
      </c>
      <c r="AL9" s="567" t="s">
        <v>172</v>
      </c>
      <c r="AM9" s="567" t="s">
        <v>173</v>
      </c>
      <c r="AN9" s="582" t="s">
        <v>167</v>
      </c>
    </row>
    <row r="10" spans="1:40" ht="12.75" customHeight="1">
      <c r="A10" s="64"/>
      <c r="B10" s="31"/>
      <c r="C10" s="136"/>
      <c r="D10" s="638"/>
      <c r="E10" s="639"/>
      <c r="F10" s="639"/>
      <c r="G10" s="640"/>
      <c r="H10" s="159"/>
      <c r="I10" s="53"/>
      <c r="J10" s="35"/>
      <c r="K10" s="35"/>
      <c r="L10" s="413" t="s">
        <v>131</v>
      </c>
      <c r="M10" s="383">
        <v>12</v>
      </c>
      <c r="N10" s="88">
        <v>180100</v>
      </c>
      <c r="O10" s="35"/>
      <c r="P10" s="414">
        <f t="shared" si="0"/>
        <v>15008.333333333334</v>
      </c>
      <c r="Q10" s="35"/>
      <c r="R10" s="35"/>
      <c r="S10" s="35"/>
      <c r="T10" s="35"/>
      <c r="U10" s="35"/>
      <c r="V10" s="35"/>
      <c r="X10" s="110"/>
      <c r="AA10" s="110"/>
      <c r="AB10" s="127"/>
      <c r="AF10" s="580"/>
      <c r="AG10" s="567"/>
      <c r="AH10" s="567"/>
      <c r="AI10" s="567"/>
      <c r="AJ10" s="567"/>
      <c r="AK10" s="567"/>
      <c r="AL10" s="567"/>
      <c r="AM10" s="567"/>
      <c r="AN10" s="582"/>
    </row>
    <row r="11" spans="1:40" ht="12.75" customHeight="1">
      <c r="A11" s="64"/>
      <c r="B11" s="31"/>
      <c r="C11" s="136" t="s">
        <v>45</v>
      </c>
      <c r="D11" s="635"/>
      <c r="E11" s="636"/>
      <c r="F11" s="636"/>
      <c r="G11" s="637"/>
      <c r="H11" s="159"/>
      <c r="I11" s="53"/>
      <c r="J11" s="35"/>
      <c r="K11" s="35"/>
      <c r="L11" s="413" t="s">
        <v>132</v>
      </c>
      <c r="M11" s="383">
        <v>13</v>
      </c>
      <c r="N11" s="88">
        <v>183500</v>
      </c>
      <c r="O11" s="35"/>
      <c r="P11" s="414">
        <f t="shared" si="0"/>
        <v>15291.666666666666</v>
      </c>
      <c r="Q11" s="35"/>
      <c r="R11" s="35"/>
      <c r="S11" s="35"/>
      <c r="T11" s="35"/>
      <c r="U11" s="35"/>
      <c r="V11" s="35"/>
      <c r="X11" s="110"/>
      <c r="AA11" s="110"/>
      <c r="AB11" s="127"/>
      <c r="AF11" s="580"/>
      <c r="AG11" s="567"/>
      <c r="AH11" s="567"/>
      <c r="AI11" s="567"/>
      <c r="AJ11" s="567"/>
      <c r="AK11" s="567"/>
      <c r="AL11" s="567"/>
      <c r="AM11" s="567"/>
      <c r="AN11" s="582"/>
    </row>
    <row r="12" spans="1:40" ht="12.75" customHeight="1">
      <c r="A12" s="64"/>
      <c r="B12" s="31"/>
      <c r="C12" s="136"/>
      <c r="D12" s="638"/>
      <c r="E12" s="639"/>
      <c r="F12" s="639"/>
      <c r="G12" s="640"/>
      <c r="H12" s="159"/>
      <c r="I12" s="53"/>
      <c r="J12" s="35"/>
      <c r="K12" s="35"/>
      <c r="L12" s="413" t="s">
        <v>133</v>
      </c>
      <c r="M12" s="383">
        <v>14</v>
      </c>
      <c r="N12" s="88">
        <v>186600</v>
      </c>
      <c r="O12" s="35"/>
      <c r="P12" s="414">
        <f t="shared" si="0"/>
        <v>15550</v>
      </c>
      <c r="Q12" s="35"/>
      <c r="R12" s="35"/>
      <c r="S12" s="35"/>
      <c r="T12" s="35"/>
      <c r="U12" s="35"/>
      <c r="V12" s="35"/>
      <c r="X12" s="110"/>
      <c r="AA12" s="110"/>
      <c r="AB12" s="127"/>
      <c r="AF12" s="550" t="s">
        <v>168</v>
      </c>
      <c r="AG12" s="551"/>
      <c r="AH12" s="558" t="s">
        <v>174</v>
      </c>
      <c r="AI12" s="559"/>
      <c r="AJ12" s="551"/>
      <c r="AK12" s="566" t="s">
        <v>187</v>
      </c>
      <c r="AL12" s="546" t="s">
        <v>176</v>
      </c>
      <c r="AM12" s="567" t="s">
        <v>173</v>
      </c>
      <c r="AN12" s="568" t="s">
        <v>167</v>
      </c>
    </row>
    <row r="13" spans="1:40">
      <c r="A13" s="64"/>
      <c r="B13" s="31"/>
      <c r="C13" s="136"/>
      <c r="D13" s="136"/>
      <c r="E13" s="411"/>
      <c r="F13" s="412"/>
      <c r="H13" s="159"/>
      <c r="I13" s="53"/>
      <c r="J13" s="35"/>
      <c r="K13" s="35"/>
      <c r="L13" s="341" t="s">
        <v>140</v>
      </c>
      <c r="M13" s="383">
        <v>15</v>
      </c>
      <c r="N13" s="88">
        <v>200000</v>
      </c>
      <c r="O13" s="35"/>
      <c r="P13" s="414">
        <f t="shared" si="0"/>
        <v>16666.666666666668</v>
      </c>
      <c r="Q13" s="35"/>
      <c r="R13" s="35"/>
      <c r="S13" s="35"/>
      <c r="T13" s="35"/>
      <c r="U13" s="35"/>
      <c r="V13" s="35"/>
      <c r="X13" s="110"/>
      <c r="AA13" s="110"/>
      <c r="AB13" s="127"/>
      <c r="AF13" s="552"/>
      <c r="AG13" s="553"/>
      <c r="AH13" s="560"/>
      <c r="AI13" s="561"/>
      <c r="AJ13" s="553"/>
      <c r="AK13" s="567"/>
      <c r="AL13" s="547"/>
      <c r="AM13" s="567"/>
      <c r="AN13" s="569"/>
    </row>
    <row r="14" spans="1:40">
      <c r="A14" s="64"/>
      <c r="B14" s="31"/>
      <c r="C14" s="136"/>
      <c r="D14" s="136"/>
      <c r="E14" s="411"/>
      <c r="F14" s="412"/>
      <c r="H14" s="159"/>
      <c r="I14" s="53"/>
      <c r="J14" s="35"/>
      <c r="K14" s="35"/>
      <c r="L14" s="341" t="s">
        <v>136</v>
      </c>
      <c r="M14" s="383">
        <v>16</v>
      </c>
      <c r="N14" s="88">
        <v>191300</v>
      </c>
      <c r="O14" s="35"/>
      <c r="P14" s="414">
        <f t="shared" si="0"/>
        <v>15941.666666666666</v>
      </c>
      <c r="Q14" s="35"/>
      <c r="R14" s="35"/>
      <c r="S14" s="35"/>
      <c r="T14" s="35"/>
      <c r="U14" s="35"/>
      <c r="V14" s="35"/>
      <c r="X14" s="110"/>
      <c r="AA14" s="110"/>
      <c r="AB14" s="127"/>
      <c r="AF14" s="554"/>
      <c r="AG14" s="555"/>
      <c r="AH14" s="562"/>
      <c r="AI14" s="563"/>
      <c r="AJ14" s="555"/>
      <c r="AK14" s="567"/>
      <c r="AL14" s="548"/>
      <c r="AM14" s="567"/>
      <c r="AN14" s="570"/>
    </row>
    <row r="15" spans="1:40">
      <c r="A15" s="64"/>
      <c r="B15" s="31"/>
      <c r="C15" s="136"/>
      <c r="D15" s="136"/>
      <c r="E15" s="411"/>
      <c r="F15" s="412"/>
      <c r="H15" s="159"/>
      <c r="I15" s="327"/>
      <c r="J15" s="160"/>
      <c r="K15" s="160"/>
      <c r="L15" s="519" t="s">
        <v>135</v>
      </c>
      <c r="M15" s="516">
        <v>17</v>
      </c>
      <c r="N15" s="517">
        <v>207000</v>
      </c>
      <c r="O15" s="160"/>
      <c r="P15" s="518">
        <f t="shared" si="0"/>
        <v>17250</v>
      </c>
      <c r="Q15" s="35"/>
      <c r="R15" s="35"/>
      <c r="S15" s="35"/>
      <c r="T15" s="35"/>
      <c r="U15" s="35"/>
      <c r="V15" s="35"/>
      <c r="X15" s="110"/>
      <c r="AA15" s="110"/>
      <c r="AB15" s="127"/>
      <c r="AF15" s="550" t="s">
        <v>177</v>
      </c>
      <c r="AG15" s="551"/>
      <c r="AH15" s="558" t="s">
        <v>169</v>
      </c>
      <c r="AI15" s="559"/>
      <c r="AJ15" s="551"/>
      <c r="AK15" s="572" t="s">
        <v>188</v>
      </c>
      <c r="AL15" s="546" t="s">
        <v>178</v>
      </c>
      <c r="AM15" s="546" t="s">
        <v>179</v>
      </c>
      <c r="AN15" s="568" t="s">
        <v>167</v>
      </c>
    </row>
    <row r="16" spans="1:40">
      <c r="A16" s="64"/>
      <c r="B16" s="31"/>
      <c r="C16" s="136"/>
      <c r="D16" s="136"/>
      <c r="E16" s="411"/>
      <c r="F16" s="412"/>
      <c r="H16" s="483"/>
      <c r="I16" s="477"/>
      <c r="J16" s="478"/>
      <c r="K16" s="478"/>
      <c r="L16" s="479" t="s">
        <v>151</v>
      </c>
      <c r="M16" s="480">
        <v>18</v>
      </c>
      <c r="N16" s="481">
        <v>196700</v>
      </c>
      <c r="O16" s="478"/>
      <c r="P16" s="482">
        <f t="shared" si="0"/>
        <v>16391.666666666668</v>
      </c>
      <c r="Q16" s="35"/>
      <c r="R16" s="35"/>
      <c r="S16" s="35"/>
      <c r="T16" s="35"/>
      <c r="U16" s="35"/>
      <c r="V16" s="35"/>
      <c r="X16" s="110"/>
      <c r="AA16" s="110"/>
      <c r="AB16" s="127"/>
      <c r="AF16" s="552"/>
      <c r="AG16" s="553"/>
      <c r="AH16" s="560"/>
      <c r="AI16" s="561"/>
      <c r="AJ16" s="553"/>
      <c r="AK16" s="547"/>
      <c r="AL16" s="547"/>
      <c r="AM16" s="547"/>
      <c r="AN16" s="569"/>
    </row>
    <row r="17" spans="1:40">
      <c r="A17" s="64"/>
      <c r="B17" s="31"/>
      <c r="C17" s="136"/>
      <c r="D17" s="136"/>
      <c r="E17" s="411"/>
      <c r="F17" s="412"/>
      <c r="H17" s="159"/>
      <c r="I17" s="327"/>
      <c r="J17" s="160"/>
      <c r="K17" s="160"/>
      <c r="L17" s="519" t="s">
        <v>139</v>
      </c>
      <c r="M17" s="516">
        <v>19</v>
      </c>
      <c r="N17" s="517">
        <v>199700</v>
      </c>
      <c r="O17" s="160"/>
      <c r="P17" s="518">
        <f t="shared" si="0"/>
        <v>16641.666666666668</v>
      </c>
      <c r="Q17" s="35"/>
      <c r="R17" s="35"/>
      <c r="S17" s="35"/>
      <c r="T17" s="35"/>
      <c r="U17" s="35"/>
      <c r="V17" s="35"/>
      <c r="X17" s="110"/>
      <c r="AA17" s="110"/>
      <c r="AB17" s="127"/>
      <c r="AF17" s="554"/>
      <c r="AG17" s="555"/>
      <c r="AH17" s="562"/>
      <c r="AI17" s="563"/>
      <c r="AJ17" s="555"/>
      <c r="AK17" s="548"/>
      <c r="AL17" s="548"/>
      <c r="AM17" s="548"/>
      <c r="AN17" s="570"/>
    </row>
    <row r="18" spans="1:40">
      <c r="A18" s="64"/>
      <c r="B18" s="31"/>
      <c r="C18" s="136"/>
      <c r="D18" s="136"/>
      <c r="E18" s="411"/>
      <c r="F18" s="412"/>
      <c r="H18" s="159"/>
      <c r="I18" s="203"/>
      <c r="J18" s="466"/>
      <c r="K18" s="466"/>
      <c r="L18" s="514" t="s">
        <v>190</v>
      </c>
      <c r="M18" s="467">
        <v>20</v>
      </c>
      <c r="N18" s="468">
        <v>179700</v>
      </c>
      <c r="O18" s="466"/>
      <c r="P18" s="469">
        <f>N18/12</f>
        <v>14975</v>
      </c>
      <c r="Q18" s="35"/>
      <c r="R18" s="35"/>
      <c r="S18" s="35"/>
      <c r="T18" s="35"/>
      <c r="U18" s="35"/>
      <c r="V18" s="35"/>
      <c r="X18" s="110"/>
      <c r="AA18" s="110"/>
      <c r="AB18" s="127"/>
      <c r="AF18" s="550" t="s">
        <v>177</v>
      </c>
      <c r="AG18" s="551"/>
      <c r="AH18" s="558" t="s">
        <v>174</v>
      </c>
      <c r="AI18" s="559"/>
      <c r="AJ18" s="551"/>
      <c r="AK18" s="572" t="s">
        <v>188</v>
      </c>
      <c r="AL18" s="546" t="s">
        <v>176</v>
      </c>
      <c r="AM18" s="546" t="s">
        <v>179</v>
      </c>
      <c r="AN18" s="568" t="s">
        <v>167</v>
      </c>
    </row>
    <row r="19" spans="1:40">
      <c r="A19" s="64"/>
      <c r="B19" s="31"/>
      <c r="C19" s="136"/>
      <c r="D19" s="136"/>
      <c r="E19" s="411"/>
      <c r="F19" s="412"/>
      <c r="H19" s="159"/>
      <c r="I19" s="203"/>
      <c r="J19" s="466"/>
      <c r="K19" s="466"/>
      <c r="L19" s="514" t="s">
        <v>194</v>
      </c>
      <c r="M19" s="467">
        <v>21</v>
      </c>
      <c r="N19" s="468">
        <v>221000</v>
      </c>
      <c r="O19" s="466"/>
      <c r="P19" s="469">
        <f>N19/12</f>
        <v>18416.666666666668</v>
      </c>
      <c r="Q19" s="35"/>
      <c r="R19" s="35"/>
      <c r="S19" s="35"/>
      <c r="T19" s="35"/>
      <c r="U19" s="35"/>
      <c r="V19" s="35"/>
      <c r="X19" s="110"/>
      <c r="AA19" s="110"/>
      <c r="AB19" s="127"/>
      <c r="AF19" s="552"/>
      <c r="AG19" s="553"/>
      <c r="AH19" s="560"/>
      <c r="AI19" s="561"/>
      <c r="AJ19" s="553"/>
      <c r="AK19" s="573"/>
      <c r="AL19" s="547"/>
      <c r="AM19" s="547"/>
      <c r="AN19" s="569"/>
    </row>
    <row r="20" spans="1:40" ht="12.75" customHeight="1">
      <c r="A20" s="64"/>
      <c r="B20" s="31"/>
      <c r="C20" s="136"/>
      <c r="D20" s="629"/>
      <c r="E20" s="630"/>
      <c r="F20" s="631"/>
      <c r="H20" s="159"/>
      <c r="I20" s="53"/>
      <c r="J20" s="35"/>
      <c r="K20" s="35"/>
      <c r="L20" s="413"/>
      <c r="M20" s="415"/>
      <c r="N20" s="88"/>
      <c r="O20" s="35"/>
      <c r="P20" s="414"/>
      <c r="Q20" s="35"/>
      <c r="R20" s="35"/>
      <c r="S20" s="35"/>
      <c r="T20" s="35"/>
      <c r="U20" s="35"/>
      <c r="V20" s="35"/>
      <c r="X20" s="110"/>
      <c r="AA20" s="110"/>
      <c r="AB20" s="127"/>
      <c r="AF20" s="552"/>
      <c r="AG20" s="553"/>
      <c r="AH20" s="560"/>
      <c r="AI20" s="561"/>
      <c r="AJ20" s="553"/>
      <c r="AK20" s="547"/>
      <c r="AL20" s="547"/>
      <c r="AM20" s="547"/>
      <c r="AN20" s="569"/>
    </row>
    <row r="21" spans="1:40" ht="12.75" customHeight="1" thickBot="1">
      <c r="A21" s="64"/>
      <c r="B21" s="31"/>
      <c r="C21" s="136" t="s">
        <v>80</v>
      </c>
      <c r="D21" s="632"/>
      <c r="E21" s="633"/>
      <c r="F21" s="634"/>
      <c r="H21" s="160"/>
      <c r="I21" s="35"/>
      <c r="J21" s="35"/>
      <c r="K21" s="35"/>
      <c r="L21" s="72"/>
      <c r="M21" s="136" t="s">
        <v>70</v>
      </c>
      <c r="N21" s="132" t="str">
        <f>IF(OR(N32&gt;Fed_Limit,N33&gt;Fed_Limit,N34&gt;Fed_Limit,N35&gt;Fed_Limit),"Yes","No")</f>
        <v>No</v>
      </c>
      <c r="O21" s="132"/>
      <c r="P21" s="80"/>
      <c r="Q21" s="132"/>
      <c r="R21" s="132"/>
      <c r="S21" s="132"/>
      <c r="T21" s="132"/>
      <c r="U21" s="132"/>
      <c r="V21" s="132"/>
      <c r="X21" s="593" t="s">
        <v>36</v>
      </c>
      <c r="Y21" s="595"/>
      <c r="Z21" s="593" t="s">
        <v>34</v>
      </c>
      <c r="AA21" s="594"/>
      <c r="AB21" s="595"/>
      <c r="AF21" s="556"/>
      <c r="AG21" s="557"/>
      <c r="AH21" s="564"/>
      <c r="AI21" s="565"/>
      <c r="AJ21" s="557"/>
      <c r="AK21" s="549"/>
      <c r="AL21" s="549"/>
      <c r="AM21" s="549"/>
      <c r="AN21" s="571"/>
    </row>
    <row r="22" spans="1:40" ht="5" customHeight="1" thickBot="1">
      <c r="A22" s="153"/>
      <c r="B22" s="37"/>
      <c r="C22" s="37"/>
      <c r="D22" s="37"/>
      <c r="E22" s="37"/>
      <c r="F22" s="37"/>
      <c r="G22" s="37"/>
      <c r="H22" s="37"/>
      <c r="I22" s="37"/>
      <c r="J22" s="37"/>
      <c r="K22" s="37"/>
      <c r="L22" s="37"/>
      <c r="M22" s="37"/>
      <c r="N22" s="37"/>
      <c r="O22" s="37"/>
      <c r="P22" s="52"/>
      <c r="Q22" s="35"/>
      <c r="R22" s="35"/>
      <c r="S22" s="35"/>
      <c r="T22" s="35"/>
      <c r="U22" s="35"/>
      <c r="V22" s="35"/>
      <c r="X22" s="123"/>
      <c r="Y22" s="103"/>
      <c r="Z22" s="102"/>
      <c r="AA22" s="102"/>
      <c r="AB22" s="103"/>
      <c r="AF22" s="35"/>
      <c r="AG22" s="35"/>
      <c r="AH22" s="35"/>
      <c r="AI22" s="35"/>
      <c r="AJ22" s="35"/>
      <c r="AK22" s="35"/>
      <c r="AL22" s="35"/>
      <c r="AM22" s="35"/>
      <c r="AN22" s="35"/>
    </row>
    <row r="23" spans="1:40" ht="17.25" customHeight="1" thickTop="1">
      <c r="A23" s="215"/>
      <c r="B23" s="216" t="s">
        <v>79</v>
      </c>
      <c r="C23" s="36"/>
      <c r="D23" s="36"/>
      <c r="E23" s="36"/>
      <c r="F23" s="36"/>
      <c r="G23" s="36"/>
      <c r="H23" s="36"/>
      <c r="I23" s="36"/>
      <c r="J23" s="36"/>
      <c r="K23" s="36"/>
      <c r="L23" s="36"/>
      <c r="M23" s="36"/>
      <c r="N23" s="51"/>
      <c r="O23" s="35"/>
      <c r="P23" s="35"/>
      <c r="Q23" s="35"/>
      <c r="R23" s="35"/>
      <c r="S23" s="35"/>
      <c r="T23" s="35"/>
      <c r="U23" s="35"/>
      <c r="V23" s="35"/>
      <c r="X23" s="123"/>
      <c r="Y23" s="103"/>
      <c r="Z23" s="102"/>
      <c r="AA23" s="102"/>
      <c r="AB23" s="103"/>
      <c r="AF23" s="542" t="s">
        <v>180</v>
      </c>
      <c r="AG23" s="542"/>
      <c r="AH23" s="542"/>
      <c r="AI23" s="542"/>
      <c r="AJ23" s="542"/>
      <c r="AK23" s="542"/>
      <c r="AL23" s="543"/>
      <c r="AM23" s="543"/>
      <c r="AN23" s="543"/>
    </row>
    <row r="24" spans="1:40" ht="14.25" customHeight="1">
      <c r="A24" s="257"/>
      <c r="B24" s="35"/>
      <c r="D24" s="56" t="s">
        <v>65</v>
      </c>
      <c r="E24" s="35"/>
      <c r="F24" s="35"/>
      <c r="G24" s="35"/>
      <c r="H24" s="35"/>
      <c r="I24" s="35"/>
      <c r="J24" s="35"/>
      <c r="K24" s="35"/>
      <c r="L24" s="35"/>
      <c r="M24" s="35"/>
      <c r="N24" s="51"/>
      <c r="O24" s="35"/>
      <c r="P24" s="35"/>
      <c r="Q24" s="35"/>
      <c r="R24" s="35"/>
      <c r="S24" s="35"/>
      <c r="T24" s="35"/>
      <c r="U24" s="35"/>
      <c r="V24" s="35"/>
      <c r="X24" s="123"/>
      <c r="Y24" s="103"/>
      <c r="Z24" s="102"/>
      <c r="AA24" s="102"/>
      <c r="AB24" s="103"/>
      <c r="AF24" s="544" t="s">
        <v>181</v>
      </c>
      <c r="AG24" s="544"/>
      <c r="AH24" s="544"/>
      <c r="AI24" s="544"/>
      <c r="AJ24" s="544"/>
      <c r="AK24" s="544"/>
      <c r="AL24" s="544"/>
      <c r="AM24" s="544"/>
      <c r="AN24" s="544"/>
    </row>
    <row r="25" spans="1:40" ht="14.25" customHeight="1">
      <c r="A25" s="64"/>
      <c r="B25" s="434"/>
      <c r="D25" s="56"/>
      <c r="E25" s="421"/>
      <c r="F25" s="330" t="s">
        <v>81</v>
      </c>
      <c r="G25" s="136" t="s">
        <v>0</v>
      </c>
      <c r="H25" s="214">
        <f>IF(ISERROR(IF(E28="",E25/J36,E28)),0,IF(E28="",E25/J36,E28))</f>
        <v>0</v>
      </c>
      <c r="I25" s="35"/>
      <c r="J25" s="35"/>
      <c r="K25" s="35"/>
      <c r="L25" s="35"/>
      <c r="M25" s="35"/>
      <c r="N25" s="51"/>
      <c r="O25" s="35"/>
      <c r="P25" s="35"/>
      <c r="Q25" s="35"/>
      <c r="R25" s="35"/>
      <c r="S25" s="35"/>
      <c r="T25" s="35"/>
      <c r="U25" s="35"/>
      <c r="V25" s="35"/>
      <c r="X25" s="123"/>
      <c r="Y25" s="103"/>
      <c r="Z25" s="102"/>
      <c r="AA25" s="102"/>
      <c r="AB25" s="103"/>
      <c r="AF25" s="545" t="s">
        <v>182</v>
      </c>
      <c r="AG25" s="545"/>
      <c r="AH25" s="545"/>
      <c r="AI25" s="545"/>
      <c r="AJ25" s="545"/>
      <c r="AK25" s="545"/>
      <c r="AL25" s="545"/>
      <c r="AM25" s="545"/>
      <c r="AN25" s="545"/>
    </row>
    <row r="26" spans="1:40" ht="14.25" customHeight="1">
      <c r="A26" s="257"/>
      <c r="B26" s="258"/>
      <c r="D26" s="35"/>
      <c r="E26" s="35"/>
      <c r="F26" s="35"/>
      <c r="G26" s="35"/>
      <c r="H26" s="35"/>
      <c r="I26" s="35"/>
      <c r="J26" s="35"/>
      <c r="K26" s="35"/>
      <c r="L26" s="35"/>
      <c r="M26" s="35"/>
      <c r="N26" s="51"/>
      <c r="O26" s="35"/>
      <c r="P26" s="35"/>
      <c r="Q26" s="35"/>
      <c r="R26" s="35"/>
      <c r="S26" s="35"/>
      <c r="T26" s="35"/>
      <c r="U26" s="35"/>
      <c r="V26" s="35"/>
      <c r="X26" s="123"/>
      <c r="Y26" s="103"/>
      <c r="Z26" s="102"/>
      <c r="AA26" s="102"/>
      <c r="AB26" s="103"/>
      <c r="AF26" s="35"/>
      <c r="AG26" s="35"/>
      <c r="AH26" s="49"/>
      <c r="AI26" s="35"/>
      <c r="AJ26" s="136" t="s">
        <v>189</v>
      </c>
      <c r="AK26" s="539" t="s">
        <v>183</v>
      </c>
      <c r="AL26" s="35"/>
      <c r="AM26" s="263" t="s">
        <v>184</v>
      </c>
      <c r="AN26" s="35"/>
    </row>
    <row r="27" spans="1:40" ht="13.5" customHeight="1">
      <c r="A27" s="256"/>
      <c r="B27" s="35"/>
      <c r="D27" s="35" t="s">
        <v>66</v>
      </c>
      <c r="E27" s="35"/>
      <c r="F27" s="35"/>
      <c r="G27" s="35"/>
      <c r="H27" s="35"/>
      <c r="I27" s="35"/>
      <c r="J27" s="35"/>
      <c r="K27" s="35"/>
      <c r="L27" s="35"/>
      <c r="M27" s="35"/>
      <c r="N27" s="51"/>
      <c r="O27" s="35"/>
      <c r="P27" s="35"/>
      <c r="Q27" s="35"/>
      <c r="R27" s="35"/>
      <c r="S27" s="35"/>
      <c r="T27" s="35"/>
      <c r="U27" s="35"/>
      <c r="V27" s="35"/>
      <c r="X27" s="123"/>
      <c r="Y27" s="103"/>
      <c r="Z27" s="102"/>
      <c r="AA27" s="102"/>
      <c r="AB27" s="103"/>
    </row>
    <row r="28" spans="1:40" ht="13.5" customHeight="1">
      <c r="A28" s="64"/>
      <c r="B28" s="35"/>
      <c r="C28" s="35"/>
      <c r="D28" s="35"/>
      <c r="E28" s="422"/>
      <c r="F28" s="213"/>
      <c r="G28" s="35" t="s">
        <v>74</v>
      </c>
      <c r="H28" s="247">
        <f>IF(ISERROR(IF(E25="",E28*J36,E25)),0,IF(E25="",E28*J36,E25))</f>
        <v>0</v>
      </c>
      <c r="I28" s="35"/>
      <c r="J28" s="35"/>
      <c r="K28" s="35"/>
      <c r="L28" s="35"/>
      <c r="M28" s="35"/>
      <c r="N28" s="51"/>
      <c r="O28" s="35"/>
      <c r="P28" s="35"/>
      <c r="Q28" s="35"/>
      <c r="R28" s="35"/>
      <c r="S28" s="35"/>
      <c r="T28" s="35"/>
      <c r="U28" s="35"/>
      <c r="V28" s="35"/>
      <c r="X28" s="123"/>
      <c r="Y28" s="103"/>
      <c r="Z28" s="102"/>
      <c r="AA28" s="102"/>
      <c r="AB28" s="103"/>
    </row>
    <row r="29" spans="1:40" ht="13" thickBot="1">
      <c r="A29" s="153"/>
      <c r="B29" s="217"/>
      <c r="C29" s="217"/>
      <c r="D29" s="217"/>
      <c r="E29" s="246"/>
      <c r="F29" s="37"/>
      <c r="G29" s="37"/>
      <c r="H29" s="37"/>
      <c r="I29" s="37"/>
      <c r="J29" s="37"/>
      <c r="K29" s="37"/>
      <c r="L29" s="37"/>
      <c r="M29" s="37"/>
      <c r="N29" s="52"/>
      <c r="X29" s="124" t="s">
        <v>32</v>
      </c>
      <c r="Y29" s="104" t="s">
        <v>37</v>
      </c>
      <c r="Z29" s="120" t="s">
        <v>38</v>
      </c>
      <c r="AA29" s="122" t="s">
        <v>35</v>
      </c>
      <c r="AB29" s="121" t="s">
        <v>33</v>
      </c>
    </row>
    <row r="30" spans="1:40" ht="13" thickTop="1">
      <c r="A30" s="64"/>
      <c r="B30" s="35"/>
      <c r="C30" s="146" t="s">
        <v>43</v>
      </c>
      <c r="D30" s="146"/>
      <c r="E30" s="423"/>
      <c r="G30" s="161"/>
      <c r="H30" s="161"/>
      <c r="I30" s="276"/>
      <c r="J30" s="141" t="s">
        <v>42</v>
      </c>
      <c r="K30" s="93"/>
      <c r="L30" s="93"/>
      <c r="M30" s="93"/>
      <c r="N30" s="142"/>
      <c r="O30" s="86" t="s">
        <v>40</v>
      </c>
      <c r="P30" s="86"/>
      <c r="Q30" s="86"/>
      <c r="R30" s="86"/>
      <c r="S30" s="86"/>
      <c r="T30" s="86"/>
      <c r="U30" s="86"/>
      <c r="V30" s="86"/>
      <c r="X30" s="113"/>
      <c r="Y30" s="106">
        <f t="array" ref="Y30">SUM(IF($A$41:$A$61&lt;&gt;"x",$J$41:$J$61,0))</f>
        <v>0</v>
      </c>
      <c r="Z30" s="248">
        <f>Y30*$N$35</f>
        <v>0</v>
      </c>
      <c r="AA30" s="248">
        <f>AA83*Fed_Limit</f>
        <v>0</v>
      </c>
      <c r="AB30" s="84">
        <f>AB83*12</f>
        <v>0</v>
      </c>
    </row>
    <row r="31" spans="1:40" ht="13">
      <c r="A31" s="64"/>
      <c r="B31" s="35"/>
      <c r="C31" s="136" t="s">
        <v>1</v>
      </c>
      <c r="D31" s="136"/>
      <c r="E31" s="424"/>
      <c r="H31" s="162"/>
      <c r="I31" s="56"/>
      <c r="J31" s="471" t="s">
        <v>141</v>
      </c>
      <c r="K31" s="57" t="s">
        <v>3</v>
      </c>
      <c r="L31" s="57" t="s">
        <v>4</v>
      </c>
      <c r="M31" s="57" t="s">
        <v>5</v>
      </c>
      <c r="N31" s="58" t="s">
        <v>6</v>
      </c>
      <c r="O31" s="132"/>
      <c r="P31" s="132"/>
      <c r="Q31" s="132"/>
      <c r="R31" s="132"/>
      <c r="S31" s="132"/>
      <c r="T31" s="132"/>
      <c r="U31" s="132"/>
      <c r="V31" s="132"/>
      <c r="X31" s="114" t="s">
        <v>3</v>
      </c>
      <c r="Y31" s="107">
        <f t="array" ref="Y31">SUM(IF($A$41:$A$61&lt;&gt;"x",$K$41:$K$61,0))</f>
        <v>0</v>
      </c>
      <c r="Z31" s="249">
        <f>Y31*$N$35</f>
        <v>0</v>
      </c>
      <c r="AA31" s="249">
        <f>AA84*Fed_Limit</f>
        <v>0</v>
      </c>
      <c r="AB31" s="99">
        <f>AB84*12</f>
        <v>0</v>
      </c>
    </row>
    <row r="32" spans="1:40" hidden="1">
      <c r="A32" s="282"/>
      <c r="B32" s="56"/>
      <c r="C32" s="136" t="s">
        <v>86</v>
      </c>
      <c r="D32" s="136"/>
      <c r="E32" s="425"/>
      <c r="F32" s="262" t="s">
        <v>81</v>
      </c>
      <c r="H32" s="162"/>
      <c r="I32" s="56"/>
      <c r="J32" s="277">
        <f>IF(Instructor="",0,VLOOKUP(Instructor,Instr_Range,2))</f>
        <v>0</v>
      </c>
      <c r="K32" s="39">
        <f>SUM(Instr_Tot_HST)</f>
        <v>0</v>
      </c>
      <c r="L32" s="39">
        <f>IF(Scale&gt;=4,SUM(Instr_Tot_HSR),0)</f>
        <v>0</v>
      </c>
      <c r="M32" s="39">
        <f>((N32-(Instr_base+SUM(Instr_Tot_HST)+SUM(Instr_Tot_HSR))))</f>
        <v>0</v>
      </c>
      <c r="N32" s="240">
        <f>J32*H25</f>
        <v>0</v>
      </c>
      <c r="O32" s="132"/>
      <c r="P32" s="132"/>
      <c r="Q32" s="132"/>
      <c r="R32" s="132"/>
      <c r="S32" s="132"/>
      <c r="T32" s="132"/>
      <c r="U32" s="132"/>
      <c r="V32" s="132"/>
      <c r="X32" s="114"/>
      <c r="Y32" s="107"/>
      <c r="Z32" s="249"/>
      <c r="AA32" s="249"/>
      <c r="AB32" s="99"/>
    </row>
    <row r="33" spans="1:29" hidden="1">
      <c r="A33" s="64"/>
      <c r="B33" s="35"/>
      <c r="C33" s="136" t="s">
        <v>67</v>
      </c>
      <c r="D33" s="136"/>
      <c r="E33" s="425"/>
      <c r="F33" s="162"/>
      <c r="G33" s="162"/>
      <c r="H33" s="162"/>
      <c r="I33" s="56"/>
      <c r="J33" s="38">
        <f>IF(Assistant="",0,VLOOKUP(Assistant,Asst_Prof,2))</f>
        <v>0</v>
      </c>
      <c r="K33" s="39">
        <f>SUM(Asst_Tot_HST)</f>
        <v>0</v>
      </c>
      <c r="L33" s="39">
        <f>IF(Scale&gt;=4,SUM(Asst_Tot_HSR),0)</f>
        <v>0</v>
      </c>
      <c r="M33" s="39">
        <f>((N33-(Asst_Base+SUM(Asst_Tot_HST)+SUM(Asst_Tot_HSR))))</f>
        <v>0</v>
      </c>
      <c r="N33" s="240">
        <f>J33*H25</f>
        <v>0</v>
      </c>
      <c r="O33" s="49"/>
      <c r="P33" s="49"/>
      <c r="Q33" s="165"/>
      <c r="R33" s="154"/>
      <c r="S33" s="49"/>
      <c r="T33" s="49"/>
      <c r="U33" s="49"/>
      <c r="V33" s="49"/>
      <c r="X33" s="114" t="s">
        <v>4</v>
      </c>
      <c r="Y33" s="107">
        <f t="array" ref="Y33">SUM(IF($A$41:$A$61&lt;&gt;"x",$L$41:$L$61,0))</f>
        <v>0</v>
      </c>
      <c r="Z33" s="249">
        <f>Y33*$N$35</f>
        <v>0</v>
      </c>
      <c r="AA33" s="249">
        <f>AA85*Fed_Limit</f>
        <v>0</v>
      </c>
      <c r="AB33" s="99">
        <f>AB85*12</f>
        <v>0</v>
      </c>
    </row>
    <row r="34" spans="1:29" hidden="1">
      <c r="A34" s="64"/>
      <c r="B34" s="35"/>
      <c r="C34" s="136" t="s">
        <v>68</v>
      </c>
      <c r="D34" s="136"/>
      <c r="E34" s="425"/>
      <c r="F34" s="162"/>
      <c r="G34" s="162"/>
      <c r="H34" s="162"/>
      <c r="I34" s="56"/>
      <c r="J34" s="38">
        <f>IF(Associate= "",0,VLOOKUP(Associate,Assoc_Prof,2))</f>
        <v>0</v>
      </c>
      <c r="K34" s="39">
        <f>SUM(Assoc_Tot_HST)</f>
        <v>0</v>
      </c>
      <c r="L34" s="39">
        <f>IF(Scale&gt;=4,SUM(Assoc_Tot_HSR),0)</f>
        <v>0</v>
      </c>
      <c r="M34" s="39">
        <f>(N34-(Assoc_Base+SUM(Assoc_Tot_HST)+SUM(Assoc_Tot_HSR)))</f>
        <v>0</v>
      </c>
      <c r="N34" s="240">
        <f>J34*H25</f>
        <v>0</v>
      </c>
      <c r="O34" s="49"/>
      <c r="P34" s="49"/>
      <c r="Q34" s="49"/>
      <c r="R34" s="49"/>
      <c r="S34" s="49"/>
      <c r="T34" s="49"/>
      <c r="U34" s="49"/>
      <c r="V34" s="49"/>
      <c r="X34" s="115" t="s">
        <v>5</v>
      </c>
      <c r="Y34" s="108">
        <f t="array" ref="Y34">SUM(IF($A$41:$A$61&lt;&gt;"x",$M$41:$M$61,0))</f>
        <v>0</v>
      </c>
      <c r="Z34" s="250">
        <f>Y34*$N$35</f>
        <v>0</v>
      </c>
      <c r="AA34" s="250">
        <f>AA86*Fed_Limit</f>
        <v>0</v>
      </c>
      <c r="AB34" s="101">
        <f>AB86*12</f>
        <v>0</v>
      </c>
    </row>
    <row r="35" spans="1:29" ht="13" thickBot="1">
      <c r="A35" s="153"/>
      <c r="B35" s="37"/>
      <c r="C35" s="164" t="s">
        <v>75</v>
      </c>
      <c r="D35" s="164"/>
      <c r="E35" s="426"/>
      <c r="F35" s="163"/>
      <c r="G35" s="163"/>
      <c r="H35" s="163"/>
      <c r="I35" s="61"/>
      <c r="J35" s="354">
        <f>ROUND(Prof_Above,-2)</f>
        <v>0</v>
      </c>
      <c r="K35" s="355">
        <f>ROUND(IF(Scale_Above=0,0,IF(Scale_Above=1,Prof_Base_Above*0.1,IF(Scale_Above=2,Prof_Base_Above*0.2,IF(Scale_Above&gt;=3,Prof_Base_Above*0.3)))),-2)</f>
        <v>0</v>
      </c>
      <c r="L35" s="355">
        <f>ROUND(IF(Scale_Above&lt;=3,0,IF(Scale_Above=4,Prof_Base_Above*0.4-Prof_Base_Above*0.3,IF(Scale_Above=5,Prof_Base_Above*0.5-Prof_Base_Above*0.3,IF(Scale_Above=6,Prof_Base_Above*0.65-Prof_Base_Above*0.3,IF(Scale_Above=7,Prof_Base_Above*0.8-Prof_Base_Above*0.3,IF(Scale_Above=8,Prof_Base_Above*2-Prof_Base_Above*0.3,IF(Scale_Above=9,Prof_Base_Above*2.25-Prof_Base_Above*0.3))))))),-2)</f>
        <v>0</v>
      </c>
      <c r="M35" s="356">
        <f>IF(SUM(N35-Prof_Base_Above-K35-L35)&gt;0,(SUM(N35-K35-L35-Prof_Base_Above)),0)</f>
        <v>0</v>
      </c>
      <c r="N35" s="252">
        <f>J35*H25</f>
        <v>0</v>
      </c>
      <c r="O35" s="130"/>
      <c r="P35" s="130"/>
      <c r="Q35" s="130"/>
      <c r="R35" s="130"/>
      <c r="S35" s="130"/>
      <c r="T35" s="130"/>
      <c r="U35" s="130"/>
      <c r="V35" s="130"/>
      <c r="X35" s="125" t="s">
        <v>6</v>
      </c>
      <c r="Y35" s="126">
        <f>SUM(Y30:Y34)</f>
        <v>0</v>
      </c>
      <c r="Z35" s="119">
        <f>SUM(Z30:Z34)</f>
        <v>0</v>
      </c>
      <c r="AA35" s="119">
        <f>SUM(AA30:AA34)</f>
        <v>0</v>
      </c>
      <c r="AB35" s="105">
        <f>SUM(AB30:AB34)</f>
        <v>0</v>
      </c>
    </row>
    <row r="36" spans="1:29" ht="13" thickTop="1">
      <c r="C36" s="35"/>
      <c r="D36" s="35"/>
      <c r="E36" s="35"/>
      <c r="F36" s="35"/>
      <c r="G36" s="35"/>
      <c r="H36" s="81"/>
      <c r="I36" s="237" t="s">
        <v>71</v>
      </c>
      <c r="J36" s="238">
        <f>SUM(J32:J35)</f>
        <v>0</v>
      </c>
      <c r="K36" s="238">
        <f>SUM(K32:K35)</f>
        <v>0</v>
      </c>
      <c r="L36" s="238">
        <f>SUM(L32:L35)</f>
        <v>0</v>
      </c>
      <c r="M36" s="238">
        <f>SUM(M32:M35)</f>
        <v>0</v>
      </c>
      <c r="N36" s="238">
        <f>SUM(N32:N35)</f>
        <v>0</v>
      </c>
      <c r="O36" s="49"/>
      <c r="P36" s="49"/>
      <c r="Q36" s="49"/>
      <c r="R36" s="49"/>
      <c r="S36" s="49"/>
      <c r="T36" s="49"/>
      <c r="U36" s="49"/>
      <c r="V36" s="49"/>
      <c r="X36" s="8" t="s">
        <v>6</v>
      </c>
      <c r="Y36" s="109"/>
      <c r="Z36" s="100"/>
      <c r="AA36" s="101"/>
      <c r="AB36" s="105"/>
    </row>
    <row r="37" spans="1:29">
      <c r="B37" s="264"/>
      <c r="C37" s="35"/>
      <c r="D37" s="35"/>
      <c r="E37" s="35"/>
      <c r="F37" s="35"/>
      <c r="G37" s="35"/>
      <c r="H37" s="62"/>
      <c r="I37" s="236" t="s">
        <v>72</v>
      </c>
      <c r="J37" s="239">
        <f>J36/12</f>
        <v>0</v>
      </c>
      <c r="K37" s="239">
        <f>K36/12</f>
        <v>0</v>
      </c>
      <c r="L37" s="239">
        <f>L36/12</f>
        <v>0</v>
      </c>
      <c r="M37" s="239">
        <f>M36/12</f>
        <v>0</v>
      </c>
      <c r="N37" s="239">
        <f>N36/12</f>
        <v>0</v>
      </c>
      <c r="O37" s="253"/>
      <c r="P37" s="253"/>
      <c r="Q37" s="253"/>
      <c r="R37" s="253"/>
      <c r="S37" s="253"/>
      <c r="T37" s="253"/>
      <c r="U37" s="253"/>
      <c r="V37" s="253"/>
      <c r="X37" s="35"/>
      <c r="Y37" s="49"/>
      <c r="Z37" s="49"/>
      <c r="AA37" s="49"/>
      <c r="AB37" s="130"/>
    </row>
    <row r="38" spans="1:29" ht="13" thickBot="1">
      <c r="A38" s="263" t="s">
        <v>81</v>
      </c>
      <c r="G38" s="377"/>
      <c r="I38" s="375" t="s">
        <v>117</v>
      </c>
      <c r="J38" s="376">
        <f>ROUND(IF(N36&gt;0,J36/N36*E30,0),4)</f>
        <v>0</v>
      </c>
      <c r="K38" s="376">
        <f>ROUND(IF(N36&gt;0,K36/N36*E30,0),4)</f>
        <v>0</v>
      </c>
      <c r="L38" s="376">
        <f>ROUND(IF(N36&gt;0,L36/N36*E30,0),4)</f>
        <v>0</v>
      </c>
      <c r="M38" s="376">
        <f>SUM(N38-L38-K38-J38)</f>
        <v>0</v>
      </c>
      <c r="N38" s="376">
        <f>E30</f>
        <v>0</v>
      </c>
      <c r="Q38" s="137"/>
      <c r="R38" s="137"/>
      <c r="S38" s="137"/>
      <c r="T38" s="137"/>
      <c r="U38" s="137"/>
      <c r="V38" s="137"/>
      <c r="AC38" s="54"/>
    </row>
    <row r="39" spans="1:29">
      <c r="A39" s="245" t="s">
        <v>49</v>
      </c>
      <c r="B39" s="166"/>
      <c r="C39" s="144"/>
      <c r="D39" s="147"/>
      <c r="E39" s="145"/>
      <c r="F39" s="10"/>
      <c r="G39" s="10"/>
      <c r="H39" s="10"/>
      <c r="I39" s="11"/>
      <c r="J39" s="147" t="s">
        <v>7</v>
      </c>
      <c r="K39" s="10"/>
      <c r="L39" s="10"/>
      <c r="M39" s="11"/>
      <c r="N39" s="20"/>
      <c r="O39" s="35"/>
      <c r="P39" s="362" t="s">
        <v>87</v>
      </c>
      <c r="Q39" s="10"/>
      <c r="R39" s="10"/>
      <c r="S39" s="10"/>
      <c r="T39" s="11" t="s">
        <v>40</v>
      </c>
      <c r="U39" s="93"/>
      <c r="V39" s="93"/>
      <c r="W39" s="13" t="s">
        <v>40</v>
      </c>
      <c r="X39" s="4" t="s">
        <v>40</v>
      </c>
      <c r="Y39" s="6"/>
      <c r="Z39" s="6"/>
      <c r="AA39" s="6"/>
      <c r="AB39" s="5"/>
    </row>
    <row r="40" spans="1:29" ht="40.5" customHeight="1" thickBot="1">
      <c r="A40" s="230" t="s">
        <v>46</v>
      </c>
      <c r="B40" s="231" t="s">
        <v>152</v>
      </c>
      <c r="C40" s="232" t="s">
        <v>51</v>
      </c>
      <c r="D40" s="232" t="s">
        <v>130</v>
      </c>
      <c r="E40" s="233" t="s">
        <v>50</v>
      </c>
      <c r="F40" s="234" t="s">
        <v>47</v>
      </c>
      <c r="G40" s="234" t="s">
        <v>89</v>
      </c>
      <c r="H40" s="234" t="s">
        <v>88</v>
      </c>
      <c r="I40" s="235" t="s">
        <v>48</v>
      </c>
      <c r="J40" s="472" t="s">
        <v>142</v>
      </c>
      <c r="K40" s="59" t="s">
        <v>3</v>
      </c>
      <c r="L40" s="59" t="s">
        <v>4</v>
      </c>
      <c r="M40" s="60" t="s">
        <v>5</v>
      </c>
      <c r="N40" s="227" t="s">
        <v>9</v>
      </c>
      <c r="O40" s="133" t="s">
        <v>40</v>
      </c>
      <c r="P40" s="473" t="s">
        <v>143</v>
      </c>
      <c r="Q40" s="59" t="s">
        <v>16</v>
      </c>
      <c r="R40" s="59" t="s">
        <v>41</v>
      </c>
      <c r="S40" s="474" t="s">
        <v>17</v>
      </c>
      <c r="T40" s="286" t="s">
        <v>6</v>
      </c>
      <c r="U40" s="133"/>
      <c r="V40" s="133"/>
      <c r="Y40" s="4" t="s">
        <v>11</v>
      </c>
      <c r="Z40" s="6"/>
      <c r="AA40" s="6"/>
      <c r="AB40" s="5"/>
    </row>
    <row r="41" spans="1:29" ht="2.25" customHeight="1" thickBot="1">
      <c r="A41" s="169"/>
      <c r="B41" s="17"/>
      <c r="C41" s="35"/>
      <c r="D41" s="35"/>
      <c r="E41" s="35"/>
      <c r="F41" s="35"/>
      <c r="G41" s="35"/>
      <c r="H41" s="35"/>
      <c r="I41" s="149"/>
      <c r="J41" s="172"/>
      <c r="K41" s="173"/>
      <c r="L41" s="173"/>
      <c r="M41" s="173"/>
      <c r="N41" s="56"/>
      <c r="O41" s="56"/>
      <c r="P41" s="224"/>
      <c r="Q41" s="224"/>
      <c r="R41" s="224"/>
      <c r="S41" s="224"/>
      <c r="T41" s="287"/>
      <c r="U41" s="56"/>
      <c r="V41" s="56"/>
      <c r="W41" s="1"/>
    </row>
    <row r="42" spans="1:29">
      <c r="A42" s="419"/>
      <c r="B42" s="427"/>
      <c r="C42" s="422"/>
      <c r="D42" s="422"/>
      <c r="E42" s="422"/>
      <c r="F42" s="428"/>
      <c r="G42" s="429"/>
      <c r="H42" s="168">
        <f t="shared" ref="H42:H61" si="1">IF(ISERROR(IF(A42="",I42*(Annual_Salary/12),I42*(VLOOKUP(A42,SalaryLimits,2,FALSE))/12)),0,IF(A42="",I42*(Annual_Salary/12),I42*(VLOOKUP(A42,SalaryLimits,2,FALSE))/12))</f>
        <v>0</v>
      </c>
      <c r="I42" s="349">
        <f t="shared" ref="I42:I61" si="2">IF(ISERROR(ROUND(IF(AND(F42="",A42=""),G42/(Annual_Salary/12),IF(AND(F42="",A42&lt;&gt;""),G42/(VLOOKUP(A42,SalaryLimits,2,FALSE)/12),F42)),4)),0,ROUND(IF(AND(F42="",A42=""),G42/(Annual_Salary/12),IF(AND(F42="",A42&lt;&gt;""),G42/(VLOOKUP(A42,SalaryLimits,2,FALSE)/12),F42)),4))</f>
        <v>0</v>
      </c>
      <c r="J42" s="170">
        <f t="shared" ref="J42:J61" si="3">IF(ISERROR(IF(I42&lt;J78,I42,J78)),0,IF(I42&lt;J78,I42,J78))</f>
        <v>0</v>
      </c>
      <c r="K42" s="115">
        <f t="shared" ref="K42:K61" si="4">IF(ISERROR(IF(Y42&lt;K78,Y42,K78)),0,IF(Y42&lt;K78,Y42,K78))</f>
        <v>0</v>
      </c>
      <c r="L42" s="115">
        <f t="shared" ref="L42:L61" si="5">IF(ISERROR(IF(Z42&lt;L78,Z42,L78)),0,IF(Z42&lt;L78,Z42,L78))</f>
        <v>0</v>
      </c>
      <c r="M42" s="171">
        <f t="shared" ref="M42:M61" si="6">IF(ISERROR(IF(AA42&lt;M78,AA42,M78)),0,IF(AA42&lt;M78,AA42,M78))</f>
        <v>0</v>
      </c>
      <c r="N42" s="228">
        <f t="shared" ref="N42:N61" si="7">SUM(J42:M42)</f>
        <v>0</v>
      </c>
      <c r="O42" s="111"/>
      <c r="P42" s="138">
        <f t="shared" ref="P42:P61" si="8">IF(OR(OverCAP="No",A42=""),0,(J42*(Annual_Salary/12))-(J42*(VLOOKUP(A42,SalaryLimits,2,FALSE)/12)))</f>
        <v>0</v>
      </c>
      <c r="Q42" s="138">
        <f t="shared" ref="Q42:Q61" si="9">IF(OR(OverCAP="No",A42=""),0,(K42*(Annual_Salary/12))-(K42*(VLOOKUP(A42,SalaryLimits,2,FALSE)/12)))</f>
        <v>0</v>
      </c>
      <c r="R42" s="138">
        <f t="shared" ref="R42:R61" si="10">IF(OR(OverCAP="No",A42=""),0,(L42*(Annual_Salary/12))-(L42*(VLOOKUP(A42,SalaryLimits,2,FALSE)/12)))</f>
        <v>0</v>
      </c>
      <c r="S42" s="138">
        <f t="shared" ref="S42:S61" si="11">IF(OR(OverCAP="No",A42=""),0,(M42*(Annual_Salary/12))-(M42*(VLOOKUP(A42,SalaryLimits,2,FALSE)/12)))</f>
        <v>0</v>
      </c>
      <c r="T42" s="357">
        <f t="shared" ref="T42:T61" si="12">SUM(P42:S42)</f>
        <v>0</v>
      </c>
      <c r="U42" s="220"/>
      <c r="V42" s="220"/>
      <c r="W42" s="1"/>
      <c r="Y42" s="68">
        <f t="shared" ref="Y42:Y61" si="13">I42-J42</f>
        <v>0</v>
      </c>
      <c r="Z42" s="69">
        <f t="shared" ref="Z42:Z61" si="14">I42-J42-K42</f>
        <v>0</v>
      </c>
      <c r="AA42" s="70">
        <f t="shared" ref="AA42:AA61" si="15">I42-J42-K42-L42</f>
        <v>0</v>
      </c>
      <c r="AB42" s="69">
        <f t="shared" ref="AB42:AB61" si="16">I42-J42-K42-L42-M42</f>
        <v>0</v>
      </c>
    </row>
    <row r="43" spans="1:29">
      <c r="A43" s="419"/>
      <c r="B43" s="427"/>
      <c r="C43" s="422"/>
      <c r="D43" s="422"/>
      <c r="E43" s="422"/>
      <c r="F43" s="428"/>
      <c r="G43" s="430"/>
      <c r="H43" s="168">
        <f t="shared" si="1"/>
        <v>0</v>
      </c>
      <c r="I43" s="349">
        <f t="shared" si="2"/>
        <v>0</v>
      </c>
      <c r="J43" s="148">
        <f t="shared" si="3"/>
        <v>0</v>
      </c>
      <c r="K43" s="65">
        <f t="shared" si="4"/>
        <v>0</v>
      </c>
      <c r="L43" s="65">
        <f t="shared" si="5"/>
        <v>0</v>
      </c>
      <c r="M43" s="66">
        <f t="shared" si="6"/>
        <v>0</v>
      </c>
      <c r="N43" s="229">
        <f t="shared" si="7"/>
        <v>0</v>
      </c>
      <c r="O43" s="111"/>
      <c r="P43" s="225">
        <f t="shared" si="8"/>
        <v>0</v>
      </c>
      <c r="Q43" s="226">
        <f t="shared" si="9"/>
        <v>0</v>
      </c>
      <c r="R43" s="226">
        <f t="shared" si="10"/>
        <v>0</v>
      </c>
      <c r="S43" s="226">
        <f t="shared" si="11"/>
        <v>0</v>
      </c>
      <c r="T43" s="357">
        <f t="shared" si="12"/>
        <v>0</v>
      </c>
      <c r="U43" s="220"/>
      <c r="V43" s="220"/>
      <c r="W43" s="1"/>
      <c r="Y43" s="68">
        <f t="shared" si="13"/>
        <v>0</v>
      </c>
      <c r="Z43" s="69">
        <f t="shared" si="14"/>
        <v>0</v>
      </c>
      <c r="AA43" s="70">
        <f t="shared" si="15"/>
        <v>0</v>
      </c>
      <c r="AB43" s="69">
        <f t="shared" si="16"/>
        <v>0</v>
      </c>
    </row>
    <row r="44" spans="1:29">
      <c r="A44" s="419"/>
      <c r="B44" s="427"/>
      <c r="C44" s="422"/>
      <c r="D44" s="422"/>
      <c r="E44" s="422"/>
      <c r="F44" s="428"/>
      <c r="G44" s="430"/>
      <c r="H44" s="168">
        <f t="shared" si="1"/>
        <v>0</v>
      </c>
      <c r="I44" s="349">
        <f t="shared" si="2"/>
        <v>0</v>
      </c>
      <c r="J44" s="148">
        <f t="shared" si="3"/>
        <v>0</v>
      </c>
      <c r="K44" s="65">
        <f t="shared" si="4"/>
        <v>0</v>
      </c>
      <c r="L44" s="65">
        <f t="shared" si="5"/>
        <v>0</v>
      </c>
      <c r="M44" s="66">
        <f t="shared" si="6"/>
        <v>0</v>
      </c>
      <c r="N44" s="229">
        <f t="shared" si="7"/>
        <v>0</v>
      </c>
      <c r="O44" s="111"/>
      <c r="P44" s="225">
        <f t="shared" si="8"/>
        <v>0</v>
      </c>
      <c r="Q44" s="226">
        <f t="shared" si="9"/>
        <v>0</v>
      </c>
      <c r="R44" s="226">
        <f t="shared" si="10"/>
        <v>0</v>
      </c>
      <c r="S44" s="226">
        <f t="shared" si="11"/>
        <v>0</v>
      </c>
      <c r="T44" s="357">
        <f t="shared" si="12"/>
        <v>0</v>
      </c>
      <c r="U44" s="220"/>
      <c r="V44" s="220"/>
      <c r="W44" s="1"/>
      <c r="Y44" s="68">
        <f t="shared" si="13"/>
        <v>0</v>
      </c>
      <c r="Z44" s="69">
        <f t="shared" si="14"/>
        <v>0</v>
      </c>
      <c r="AA44" s="70">
        <f t="shared" si="15"/>
        <v>0</v>
      </c>
      <c r="AB44" s="69">
        <f t="shared" si="16"/>
        <v>0</v>
      </c>
    </row>
    <row r="45" spans="1:29">
      <c r="A45" s="419"/>
      <c r="B45" s="427"/>
      <c r="C45" s="422"/>
      <c r="D45" s="422"/>
      <c r="E45" s="422"/>
      <c r="F45" s="428"/>
      <c r="G45" s="430"/>
      <c r="H45" s="168">
        <f t="shared" si="1"/>
        <v>0</v>
      </c>
      <c r="I45" s="349">
        <f t="shared" si="2"/>
        <v>0</v>
      </c>
      <c r="J45" s="148">
        <f t="shared" si="3"/>
        <v>0</v>
      </c>
      <c r="K45" s="65">
        <f t="shared" si="4"/>
        <v>0</v>
      </c>
      <c r="L45" s="65">
        <f t="shared" si="5"/>
        <v>0</v>
      </c>
      <c r="M45" s="66">
        <f t="shared" si="6"/>
        <v>0</v>
      </c>
      <c r="N45" s="229">
        <f t="shared" si="7"/>
        <v>0</v>
      </c>
      <c r="O45" s="111"/>
      <c r="P45" s="225">
        <f t="shared" si="8"/>
        <v>0</v>
      </c>
      <c r="Q45" s="226">
        <f t="shared" si="9"/>
        <v>0</v>
      </c>
      <c r="R45" s="226">
        <f t="shared" si="10"/>
        <v>0</v>
      </c>
      <c r="S45" s="226">
        <f t="shared" si="11"/>
        <v>0</v>
      </c>
      <c r="T45" s="357">
        <f t="shared" si="12"/>
        <v>0</v>
      </c>
      <c r="U45" s="220"/>
      <c r="V45" s="220"/>
      <c r="W45" s="1"/>
      <c r="Y45" s="68">
        <f t="shared" si="13"/>
        <v>0</v>
      </c>
      <c r="Z45" s="69">
        <f t="shared" si="14"/>
        <v>0</v>
      </c>
      <c r="AA45" s="70">
        <f t="shared" si="15"/>
        <v>0</v>
      </c>
      <c r="AB45" s="69">
        <f t="shared" si="16"/>
        <v>0</v>
      </c>
    </row>
    <row r="46" spans="1:29">
      <c r="A46" s="419"/>
      <c r="B46" s="427"/>
      <c r="C46" s="422"/>
      <c r="D46" s="422"/>
      <c r="E46" s="422"/>
      <c r="F46" s="428"/>
      <c r="G46" s="430"/>
      <c r="H46" s="168">
        <f t="shared" si="1"/>
        <v>0</v>
      </c>
      <c r="I46" s="349">
        <f t="shared" si="2"/>
        <v>0</v>
      </c>
      <c r="J46" s="148">
        <f t="shared" si="3"/>
        <v>0</v>
      </c>
      <c r="K46" s="65">
        <f t="shared" si="4"/>
        <v>0</v>
      </c>
      <c r="L46" s="65">
        <f t="shared" si="5"/>
        <v>0</v>
      </c>
      <c r="M46" s="66">
        <f t="shared" si="6"/>
        <v>0</v>
      </c>
      <c r="N46" s="229">
        <f t="shared" si="7"/>
        <v>0</v>
      </c>
      <c r="O46" s="111"/>
      <c r="P46" s="225">
        <f t="shared" si="8"/>
        <v>0</v>
      </c>
      <c r="Q46" s="226">
        <f t="shared" si="9"/>
        <v>0</v>
      </c>
      <c r="R46" s="226">
        <f t="shared" si="10"/>
        <v>0</v>
      </c>
      <c r="S46" s="226">
        <f t="shared" si="11"/>
        <v>0</v>
      </c>
      <c r="T46" s="357">
        <f t="shared" si="12"/>
        <v>0</v>
      </c>
      <c r="U46" s="220"/>
      <c r="V46" s="220"/>
      <c r="W46" s="1"/>
      <c r="Y46" s="68">
        <f t="shared" si="13"/>
        <v>0</v>
      </c>
      <c r="Z46" s="69">
        <f t="shared" si="14"/>
        <v>0</v>
      </c>
      <c r="AA46" s="70">
        <f t="shared" si="15"/>
        <v>0</v>
      </c>
      <c r="AB46" s="69">
        <f t="shared" si="16"/>
        <v>0</v>
      </c>
    </row>
    <row r="47" spans="1:29">
      <c r="A47" s="419"/>
      <c r="B47" s="427"/>
      <c r="C47" s="422"/>
      <c r="D47" s="422"/>
      <c r="E47" s="422"/>
      <c r="F47" s="428"/>
      <c r="G47" s="430"/>
      <c r="H47" s="168">
        <f t="shared" si="1"/>
        <v>0</v>
      </c>
      <c r="I47" s="349">
        <f t="shared" si="2"/>
        <v>0</v>
      </c>
      <c r="J47" s="148">
        <f t="shared" si="3"/>
        <v>0</v>
      </c>
      <c r="K47" s="65">
        <f t="shared" si="4"/>
        <v>0</v>
      </c>
      <c r="L47" s="65">
        <f t="shared" si="5"/>
        <v>0</v>
      </c>
      <c r="M47" s="66">
        <f t="shared" si="6"/>
        <v>0</v>
      </c>
      <c r="N47" s="229">
        <f t="shared" si="7"/>
        <v>0</v>
      </c>
      <c r="O47" s="111"/>
      <c r="P47" s="225">
        <f t="shared" si="8"/>
        <v>0</v>
      </c>
      <c r="Q47" s="226">
        <f t="shared" si="9"/>
        <v>0</v>
      </c>
      <c r="R47" s="226">
        <f t="shared" si="10"/>
        <v>0</v>
      </c>
      <c r="S47" s="226">
        <f t="shared" si="11"/>
        <v>0</v>
      </c>
      <c r="T47" s="357">
        <f t="shared" si="12"/>
        <v>0</v>
      </c>
      <c r="U47" s="220"/>
      <c r="V47" s="220"/>
      <c r="W47" s="1"/>
      <c r="Y47" s="68">
        <f t="shared" si="13"/>
        <v>0</v>
      </c>
      <c r="Z47" s="69">
        <f t="shared" si="14"/>
        <v>0</v>
      </c>
      <c r="AA47" s="70">
        <f t="shared" si="15"/>
        <v>0</v>
      </c>
      <c r="AB47" s="69">
        <f t="shared" si="16"/>
        <v>0</v>
      </c>
    </row>
    <row r="48" spans="1:29">
      <c r="A48" s="419"/>
      <c r="B48" s="427"/>
      <c r="C48" s="422"/>
      <c r="D48" s="422"/>
      <c r="E48" s="422"/>
      <c r="F48" s="428"/>
      <c r="G48" s="430"/>
      <c r="H48" s="168">
        <f t="shared" si="1"/>
        <v>0</v>
      </c>
      <c r="I48" s="349">
        <f t="shared" si="2"/>
        <v>0</v>
      </c>
      <c r="J48" s="148">
        <f t="shared" si="3"/>
        <v>0</v>
      </c>
      <c r="K48" s="65">
        <f t="shared" si="4"/>
        <v>0</v>
      </c>
      <c r="L48" s="65">
        <f t="shared" si="5"/>
        <v>0</v>
      </c>
      <c r="M48" s="66">
        <f t="shared" si="6"/>
        <v>0</v>
      </c>
      <c r="N48" s="229">
        <f t="shared" si="7"/>
        <v>0</v>
      </c>
      <c r="O48" s="111"/>
      <c r="P48" s="225">
        <f t="shared" si="8"/>
        <v>0</v>
      </c>
      <c r="Q48" s="226">
        <f t="shared" si="9"/>
        <v>0</v>
      </c>
      <c r="R48" s="226">
        <f t="shared" si="10"/>
        <v>0</v>
      </c>
      <c r="S48" s="226">
        <f t="shared" si="11"/>
        <v>0</v>
      </c>
      <c r="T48" s="357">
        <f t="shared" si="12"/>
        <v>0</v>
      </c>
      <c r="U48" s="220"/>
      <c r="V48" s="220"/>
      <c r="W48" s="1"/>
      <c r="Y48" s="68">
        <f t="shared" si="13"/>
        <v>0</v>
      </c>
      <c r="Z48" s="69">
        <f t="shared" si="14"/>
        <v>0</v>
      </c>
      <c r="AA48" s="70">
        <f t="shared" si="15"/>
        <v>0</v>
      </c>
      <c r="AB48" s="69">
        <f t="shared" si="16"/>
        <v>0</v>
      </c>
    </row>
    <row r="49" spans="1:30">
      <c r="A49" s="419"/>
      <c r="B49" s="427"/>
      <c r="C49" s="431"/>
      <c r="D49" s="431"/>
      <c r="E49" s="422"/>
      <c r="F49" s="428"/>
      <c r="G49" s="430"/>
      <c r="H49" s="168">
        <f t="shared" si="1"/>
        <v>0</v>
      </c>
      <c r="I49" s="349">
        <f t="shared" si="2"/>
        <v>0</v>
      </c>
      <c r="J49" s="148">
        <f t="shared" si="3"/>
        <v>0</v>
      </c>
      <c r="K49" s="65">
        <f t="shared" si="4"/>
        <v>0</v>
      </c>
      <c r="L49" s="65">
        <f t="shared" si="5"/>
        <v>0</v>
      </c>
      <c r="M49" s="66">
        <f t="shared" si="6"/>
        <v>0</v>
      </c>
      <c r="N49" s="229">
        <f t="shared" si="7"/>
        <v>0</v>
      </c>
      <c r="O49" s="111"/>
      <c r="P49" s="225">
        <f t="shared" si="8"/>
        <v>0</v>
      </c>
      <c r="Q49" s="226">
        <f t="shared" si="9"/>
        <v>0</v>
      </c>
      <c r="R49" s="226">
        <f t="shared" si="10"/>
        <v>0</v>
      </c>
      <c r="S49" s="226">
        <f t="shared" si="11"/>
        <v>0</v>
      </c>
      <c r="T49" s="357">
        <f t="shared" si="12"/>
        <v>0</v>
      </c>
      <c r="U49" s="220"/>
      <c r="V49" s="220"/>
      <c r="W49" s="1"/>
      <c r="Y49" s="68">
        <f t="shared" si="13"/>
        <v>0</v>
      </c>
      <c r="Z49" s="69">
        <f t="shared" si="14"/>
        <v>0</v>
      </c>
      <c r="AA49" s="70">
        <f t="shared" si="15"/>
        <v>0</v>
      </c>
      <c r="AB49" s="69">
        <f t="shared" si="16"/>
        <v>0</v>
      </c>
    </row>
    <row r="50" spans="1:30">
      <c r="A50" s="419"/>
      <c r="B50" s="427"/>
      <c r="C50" s="431"/>
      <c r="D50" s="431"/>
      <c r="E50" s="422"/>
      <c r="F50" s="428"/>
      <c r="G50" s="430"/>
      <c r="H50" s="168">
        <f t="shared" si="1"/>
        <v>0</v>
      </c>
      <c r="I50" s="349">
        <f t="shared" si="2"/>
        <v>0</v>
      </c>
      <c r="J50" s="148">
        <f t="shared" si="3"/>
        <v>0</v>
      </c>
      <c r="K50" s="65">
        <f t="shared" si="4"/>
        <v>0</v>
      </c>
      <c r="L50" s="65">
        <f t="shared" si="5"/>
        <v>0</v>
      </c>
      <c r="M50" s="66">
        <f t="shared" si="6"/>
        <v>0</v>
      </c>
      <c r="N50" s="229">
        <f t="shared" si="7"/>
        <v>0</v>
      </c>
      <c r="O50" s="111"/>
      <c r="P50" s="225">
        <f t="shared" si="8"/>
        <v>0</v>
      </c>
      <c r="Q50" s="226">
        <f t="shared" si="9"/>
        <v>0</v>
      </c>
      <c r="R50" s="226">
        <f t="shared" si="10"/>
        <v>0</v>
      </c>
      <c r="S50" s="226">
        <f t="shared" si="11"/>
        <v>0</v>
      </c>
      <c r="T50" s="357">
        <f t="shared" si="12"/>
        <v>0</v>
      </c>
      <c r="U50" s="220"/>
      <c r="V50" s="220"/>
      <c r="W50" s="1"/>
      <c r="Y50" s="68">
        <f t="shared" si="13"/>
        <v>0</v>
      </c>
      <c r="Z50" s="69">
        <f t="shared" si="14"/>
        <v>0</v>
      </c>
      <c r="AA50" s="70">
        <f t="shared" si="15"/>
        <v>0</v>
      </c>
      <c r="AB50" s="69">
        <f t="shared" si="16"/>
        <v>0</v>
      </c>
    </row>
    <row r="51" spans="1:30">
      <c r="A51" s="419"/>
      <c r="B51" s="427"/>
      <c r="C51" s="431"/>
      <c r="D51" s="431"/>
      <c r="E51" s="422"/>
      <c r="F51" s="428"/>
      <c r="G51" s="430"/>
      <c r="H51" s="168">
        <f t="shared" si="1"/>
        <v>0</v>
      </c>
      <c r="I51" s="349">
        <f t="shared" si="2"/>
        <v>0</v>
      </c>
      <c r="J51" s="148">
        <f t="shared" si="3"/>
        <v>0</v>
      </c>
      <c r="K51" s="65">
        <f t="shared" si="4"/>
        <v>0</v>
      </c>
      <c r="L51" s="65">
        <f t="shared" si="5"/>
        <v>0</v>
      </c>
      <c r="M51" s="66">
        <f t="shared" si="6"/>
        <v>0</v>
      </c>
      <c r="N51" s="229">
        <f t="shared" si="7"/>
        <v>0</v>
      </c>
      <c r="O51" s="111"/>
      <c r="P51" s="225">
        <f t="shared" si="8"/>
        <v>0</v>
      </c>
      <c r="Q51" s="226">
        <f t="shared" si="9"/>
        <v>0</v>
      </c>
      <c r="R51" s="226">
        <f t="shared" si="10"/>
        <v>0</v>
      </c>
      <c r="S51" s="226">
        <f t="shared" si="11"/>
        <v>0</v>
      </c>
      <c r="T51" s="357">
        <f t="shared" si="12"/>
        <v>0</v>
      </c>
      <c r="U51" s="220"/>
      <c r="V51" s="220"/>
      <c r="W51" s="1"/>
      <c r="Y51" s="68">
        <f t="shared" si="13"/>
        <v>0</v>
      </c>
      <c r="Z51" s="69">
        <f t="shared" si="14"/>
        <v>0</v>
      </c>
      <c r="AA51" s="70">
        <f t="shared" si="15"/>
        <v>0</v>
      </c>
      <c r="AB51" s="69">
        <f t="shared" si="16"/>
        <v>0</v>
      </c>
    </row>
    <row r="52" spans="1:30">
      <c r="A52" s="419"/>
      <c r="B52" s="427"/>
      <c r="C52" s="431"/>
      <c r="D52" s="431"/>
      <c r="E52" s="422"/>
      <c r="F52" s="428"/>
      <c r="G52" s="430"/>
      <c r="H52" s="168">
        <f t="shared" si="1"/>
        <v>0</v>
      </c>
      <c r="I52" s="349">
        <f t="shared" si="2"/>
        <v>0</v>
      </c>
      <c r="J52" s="148">
        <f t="shared" si="3"/>
        <v>0</v>
      </c>
      <c r="K52" s="65">
        <f t="shared" si="4"/>
        <v>0</v>
      </c>
      <c r="L52" s="65">
        <f t="shared" si="5"/>
        <v>0</v>
      </c>
      <c r="M52" s="66">
        <f t="shared" si="6"/>
        <v>0</v>
      </c>
      <c r="N52" s="229">
        <f t="shared" si="7"/>
        <v>0</v>
      </c>
      <c r="O52" s="111"/>
      <c r="P52" s="225">
        <f t="shared" si="8"/>
        <v>0</v>
      </c>
      <c r="Q52" s="226">
        <f t="shared" si="9"/>
        <v>0</v>
      </c>
      <c r="R52" s="226">
        <f t="shared" si="10"/>
        <v>0</v>
      </c>
      <c r="S52" s="226">
        <f t="shared" si="11"/>
        <v>0</v>
      </c>
      <c r="T52" s="357">
        <f t="shared" si="12"/>
        <v>0</v>
      </c>
      <c r="U52" s="220"/>
      <c r="V52" s="220"/>
      <c r="W52" s="1"/>
      <c r="Y52" s="68">
        <f t="shared" si="13"/>
        <v>0</v>
      </c>
      <c r="Z52" s="69">
        <f t="shared" si="14"/>
        <v>0</v>
      </c>
      <c r="AA52" s="70">
        <f t="shared" si="15"/>
        <v>0</v>
      </c>
      <c r="AB52" s="69">
        <f t="shared" si="16"/>
        <v>0</v>
      </c>
    </row>
    <row r="53" spans="1:30">
      <c r="A53" s="419"/>
      <c r="B53" s="427"/>
      <c r="C53" s="431"/>
      <c r="D53" s="431"/>
      <c r="E53" s="422"/>
      <c r="F53" s="428"/>
      <c r="G53" s="430"/>
      <c r="H53" s="168">
        <f t="shared" si="1"/>
        <v>0</v>
      </c>
      <c r="I53" s="349">
        <f t="shared" si="2"/>
        <v>0</v>
      </c>
      <c r="J53" s="148">
        <f t="shared" si="3"/>
        <v>0</v>
      </c>
      <c r="K53" s="65">
        <f t="shared" si="4"/>
        <v>0</v>
      </c>
      <c r="L53" s="65">
        <f t="shared" si="5"/>
        <v>0</v>
      </c>
      <c r="M53" s="66">
        <f t="shared" si="6"/>
        <v>0</v>
      </c>
      <c r="N53" s="229">
        <f t="shared" si="7"/>
        <v>0</v>
      </c>
      <c r="O53" s="111"/>
      <c r="P53" s="225">
        <f t="shared" si="8"/>
        <v>0</v>
      </c>
      <c r="Q53" s="226">
        <f t="shared" si="9"/>
        <v>0</v>
      </c>
      <c r="R53" s="226">
        <f t="shared" si="10"/>
        <v>0</v>
      </c>
      <c r="S53" s="226">
        <f t="shared" si="11"/>
        <v>0</v>
      </c>
      <c r="T53" s="357">
        <f t="shared" si="12"/>
        <v>0</v>
      </c>
      <c r="U53" s="220"/>
      <c r="V53" s="220"/>
      <c r="W53" s="1"/>
      <c r="Y53" s="68">
        <f t="shared" si="13"/>
        <v>0</v>
      </c>
      <c r="Z53" s="69">
        <f t="shared" si="14"/>
        <v>0</v>
      </c>
      <c r="AA53" s="70">
        <f t="shared" si="15"/>
        <v>0</v>
      </c>
      <c r="AB53" s="69">
        <f t="shared" si="16"/>
        <v>0</v>
      </c>
    </row>
    <row r="54" spans="1:30">
      <c r="A54" s="419"/>
      <c r="B54" s="427"/>
      <c r="C54" s="431"/>
      <c r="D54" s="431"/>
      <c r="E54" s="422"/>
      <c r="F54" s="428"/>
      <c r="G54" s="430"/>
      <c r="H54" s="168">
        <f t="shared" si="1"/>
        <v>0</v>
      </c>
      <c r="I54" s="349">
        <f t="shared" si="2"/>
        <v>0</v>
      </c>
      <c r="J54" s="148">
        <f t="shared" si="3"/>
        <v>0</v>
      </c>
      <c r="K54" s="65">
        <f t="shared" si="4"/>
        <v>0</v>
      </c>
      <c r="L54" s="65">
        <f t="shared" si="5"/>
        <v>0</v>
      </c>
      <c r="M54" s="66">
        <f t="shared" si="6"/>
        <v>0</v>
      </c>
      <c r="N54" s="229">
        <f t="shared" si="7"/>
        <v>0</v>
      </c>
      <c r="O54" s="111"/>
      <c r="P54" s="225">
        <f t="shared" si="8"/>
        <v>0</v>
      </c>
      <c r="Q54" s="226">
        <f t="shared" si="9"/>
        <v>0</v>
      </c>
      <c r="R54" s="226">
        <f t="shared" si="10"/>
        <v>0</v>
      </c>
      <c r="S54" s="226">
        <f t="shared" si="11"/>
        <v>0</v>
      </c>
      <c r="T54" s="357">
        <f t="shared" si="12"/>
        <v>0</v>
      </c>
      <c r="U54" s="220"/>
      <c r="V54" s="220"/>
      <c r="W54" s="1"/>
      <c r="Y54" s="68">
        <f t="shared" si="13"/>
        <v>0</v>
      </c>
      <c r="Z54" s="69">
        <f t="shared" si="14"/>
        <v>0</v>
      </c>
      <c r="AA54" s="70">
        <f t="shared" si="15"/>
        <v>0</v>
      </c>
      <c r="AB54" s="69">
        <f t="shared" si="16"/>
        <v>0</v>
      </c>
    </row>
    <row r="55" spans="1:30">
      <c r="A55" s="419"/>
      <c r="B55" s="427"/>
      <c r="C55" s="431"/>
      <c r="D55" s="431"/>
      <c r="E55" s="422"/>
      <c r="F55" s="428"/>
      <c r="G55" s="430"/>
      <c r="H55" s="168">
        <f t="shared" si="1"/>
        <v>0</v>
      </c>
      <c r="I55" s="349">
        <f t="shared" si="2"/>
        <v>0</v>
      </c>
      <c r="J55" s="148">
        <f t="shared" si="3"/>
        <v>0</v>
      </c>
      <c r="K55" s="65">
        <f t="shared" si="4"/>
        <v>0</v>
      </c>
      <c r="L55" s="65">
        <f t="shared" si="5"/>
        <v>0</v>
      </c>
      <c r="M55" s="66">
        <f t="shared" si="6"/>
        <v>0</v>
      </c>
      <c r="N55" s="229">
        <f t="shared" si="7"/>
        <v>0</v>
      </c>
      <c r="O55" s="111"/>
      <c r="P55" s="225">
        <f t="shared" si="8"/>
        <v>0</v>
      </c>
      <c r="Q55" s="226">
        <f t="shared" si="9"/>
        <v>0</v>
      </c>
      <c r="R55" s="226">
        <f t="shared" si="10"/>
        <v>0</v>
      </c>
      <c r="S55" s="226">
        <f t="shared" si="11"/>
        <v>0</v>
      </c>
      <c r="T55" s="357">
        <f t="shared" si="12"/>
        <v>0</v>
      </c>
      <c r="U55" s="220"/>
      <c r="V55" s="220"/>
      <c r="W55" s="1"/>
      <c r="Y55" s="68">
        <f t="shared" si="13"/>
        <v>0</v>
      </c>
      <c r="Z55" s="69">
        <f t="shared" si="14"/>
        <v>0</v>
      </c>
      <c r="AA55" s="70">
        <f t="shared" si="15"/>
        <v>0</v>
      </c>
      <c r="AB55" s="69">
        <f t="shared" si="16"/>
        <v>0</v>
      </c>
    </row>
    <row r="56" spans="1:30">
      <c r="A56" s="419"/>
      <c r="B56" s="427"/>
      <c r="C56" s="431"/>
      <c r="D56" s="431"/>
      <c r="E56" s="422"/>
      <c r="F56" s="428"/>
      <c r="G56" s="430"/>
      <c r="H56" s="168">
        <f t="shared" si="1"/>
        <v>0</v>
      </c>
      <c r="I56" s="349">
        <f t="shared" si="2"/>
        <v>0</v>
      </c>
      <c r="J56" s="148">
        <f t="shared" si="3"/>
        <v>0</v>
      </c>
      <c r="K56" s="65">
        <f t="shared" si="4"/>
        <v>0</v>
      </c>
      <c r="L56" s="65">
        <f t="shared" si="5"/>
        <v>0</v>
      </c>
      <c r="M56" s="66">
        <f t="shared" si="6"/>
        <v>0</v>
      </c>
      <c r="N56" s="229">
        <f t="shared" si="7"/>
        <v>0</v>
      </c>
      <c r="O56" s="111"/>
      <c r="P56" s="225">
        <f t="shared" si="8"/>
        <v>0</v>
      </c>
      <c r="Q56" s="226">
        <f t="shared" si="9"/>
        <v>0</v>
      </c>
      <c r="R56" s="226">
        <f t="shared" si="10"/>
        <v>0</v>
      </c>
      <c r="S56" s="226">
        <f t="shared" si="11"/>
        <v>0</v>
      </c>
      <c r="T56" s="357">
        <f t="shared" si="12"/>
        <v>0</v>
      </c>
      <c r="U56" s="220"/>
      <c r="V56" s="220"/>
      <c r="W56" s="1"/>
      <c r="Y56" s="68">
        <f t="shared" si="13"/>
        <v>0</v>
      </c>
      <c r="Z56" s="69">
        <f t="shared" si="14"/>
        <v>0</v>
      </c>
      <c r="AA56" s="70">
        <f t="shared" si="15"/>
        <v>0</v>
      </c>
      <c r="AB56" s="69">
        <f t="shared" si="16"/>
        <v>0</v>
      </c>
    </row>
    <row r="57" spans="1:30">
      <c r="A57" s="419"/>
      <c r="B57" s="427"/>
      <c r="C57" s="431"/>
      <c r="D57" s="431"/>
      <c r="E57" s="422"/>
      <c r="F57" s="428"/>
      <c r="G57" s="430"/>
      <c r="H57" s="168">
        <f t="shared" si="1"/>
        <v>0</v>
      </c>
      <c r="I57" s="349">
        <f t="shared" si="2"/>
        <v>0</v>
      </c>
      <c r="J57" s="148">
        <f t="shared" si="3"/>
        <v>0</v>
      </c>
      <c r="K57" s="65">
        <f t="shared" si="4"/>
        <v>0</v>
      </c>
      <c r="L57" s="65">
        <f t="shared" si="5"/>
        <v>0</v>
      </c>
      <c r="M57" s="66">
        <f t="shared" si="6"/>
        <v>0</v>
      </c>
      <c r="N57" s="229">
        <f t="shared" si="7"/>
        <v>0</v>
      </c>
      <c r="O57" s="111"/>
      <c r="P57" s="225">
        <f t="shared" si="8"/>
        <v>0</v>
      </c>
      <c r="Q57" s="226">
        <f t="shared" si="9"/>
        <v>0</v>
      </c>
      <c r="R57" s="226">
        <f t="shared" si="10"/>
        <v>0</v>
      </c>
      <c r="S57" s="226">
        <f t="shared" si="11"/>
        <v>0</v>
      </c>
      <c r="T57" s="357">
        <f t="shared" si="12"/>
        <v>0</v>
      </c>
      <c r="U57" s="220"/>
      <c r="V57" s="220"/>
      <c r="W57" s="1"/>
      <c r="Y57" s="68">
        <f t="shared" si="13"/>
        <v>0</v>
      </c>
      <c r="Z57" s="69">
        <f t="shared" si="14"/>
        <v>0</v>
      </c>
      <c r="AA57" s="70">
        <f t="shared" si="15"/>
        <v>0</v>
      </c>
      <c r="AB57" s="69">
        <f t="shared" si="16"/>
        <v>0</v>
      </c>
    </row>
    <row r="58" spans="1:30">
      <c r="A58" s="419"/>
      <c r="B58" s="427"/>
      <c r="C58" s="431"/>
      <c r="D58" s="431"/>
      <c r="E58" s="422"/>
      <c r="F58" s="428"/>
      <c r="G58" s="430"/>
      <c r="H58" s="168">
        <f t="shared" si="1"/>
        <v>0</v>
      </c>
      <c r="I58" s="349">
        <f t="shared" si="2"/>
        <v>0</v>
      </c>
      <c r="J58" s="148">
        <f t="shared" si="3"/>
        <v>0</v>
      </c>
      <c r="K58" s="65">
        <f t="shared" si="4"/>
        <v>0</v>
      </c>
      <c r="L58" s="65">
        <f t="shared" si="5"/>
        <v>0</v>
      </c>
      <c r="M58" s="66">
        <f t="shared" si="6"/>
        <v>0</v>
      </c>
      <c r="N58" s="229">
        <f t="shared" si="7"/>
        <v>0</v>
      </c>
      <c r="O58" s="111"/>
      <c r="P58" s="225">
        <f t="shared" si="8"/>
        <v>0</v>
      </c>
      <c r="Q58" s="226">
        <f t="shared" si="9"/>
        <v>0</v>
      </c>
      <c r="R58" s="226">
        <f t="shared" si="10"/>
        <v>0</v>
      </c>
      <c r="S58" s="226">
        <f t="shared" si="11"/>
        <v>0</v>
      </c>
      <c r="T58" s="357">
        <f t="shared" si="12"/>
        <v>0</v>
      </c>
      <c r="U58" s="220"/>
      <c r="V58" s="220"/>
      <c r="W58" s="1"/>
      <c r="Y58" s="68">
        <f t="shared" si="13"/>
        <v>0</v>
      </c>
      <c r="Z58" s="69">
        <f t="shared" si="14"/>
        <v>0</v>
      </c>
      <c r="AA58" s="70">
        <f t="shared" si="15"/>
        <v>0</v>
      </c>
      <c r="AB58" s="69">
        <f t="shared" si="16"/>
        <v>0</v>
      </c>
    </row>
    <row r="59" spans="1:30">
      <c r="A59" s="419"/>
      <c r="B59" s="427"/>
      <c r="C59" s="431"/>
      <c r="D59" s="431"/>
      <c r="E59" s="422"/>
      <c r="F59" s="428"/>
      <c r="G59" s="430"/>
      <c r="H59" s="168">
        <f t="shared" si="1"/>
        <v>0</v>
      </c>
      <c r="I59" s="349">
        <f t="shared" si="2"/>
        <v>0</v>
      </c>
      <c r="J59" s="148">
        <f t="shared" si="3"/>
        <v>0</v>
      </c>
      <c r="K59" s="65">
        <f t="shared" si="4"/>
        <v>0</v>
      </c>
      <c r="L59" s="65">
        <f t="shared" si="5"/>
        <v>0</v>
      </c>
      <c r="M59" s="66">
        <f t="shared" si="6"/>
        <v>0</v>
      </c>
      <c r="N59" s="229">
        <f t="shared" si="7"/>
        <v>0</v>
      </c>
      <c r="O59" s="111"/>
      <c r="P59" s="225">
        <f t="shared" si="8"/>
        <v>0</v>
      </c>
      <c r="Q59" s="226">
        <f t="shared" si="9"/>
        <v>0</v>
      </c>
      <c r="R59" s="226">
        <f t="shared" si="10"/>
        <v>0</v>
      </c>
      <c r="S59" s="226">
        <f t="shared" si="11"/>
        <v>0</v>
      </c>
      <c r="T59" s="357">
        <f t="shared" si="12"/>
        <v>0</v>
      </c>
      <c r="U59" s="220"/>
      <c r="V59" s="220"/>
      <c r="W59" s="1"/>
      <c r="Y59" s="68">
        <f t="shared" si="13"/>
        <v>0</v>
      </c>
      <c r="Z59" s="69">
        <f t="shared" si="14"/>
        <v>0</v>
      </c>
      <c r="AA59" s="70">
        <f t="shared" si="15"/>
        <v>0</v>
      </c>
      <c r="AB59" s="69">
        <f t="shared" si="16"/>
        <v>0</v>
      </c>
      <c r="AD59" s="158"/>
    </row>
    <row r="60" spans="1:30">
      <c r="A60" s="419"/>
      <c r="B60" s="427"/>
      <c r="C60" s="431"/>
      <c r="D60" s="431"/>
      <c r="E60" s="422"/>
      <c r="F60" s="428"/>
      <c r="G60" s="430"/>
      <c r="H60" s="168">
        <f t="shared" si="1"/>
        <v>0</v>
      </c>
      <c r="I60" s="349">
        <f t="shared" si="2"/>
        <v>0</v>
      </c>
      <c r="J60" s="148">
        <f t="shared" si="3"/>
        <v>0</v>
      </c>
      <c r="K60" s="65">
        <f t="shared" si="4"/>
        <v>0</v>
      </c>
      <c r="L60" s="65">
        <f t="shared" si="5"/>
        <v>0</v>
      </c>
      <c r="M60" s="66">
        <f t="shared" si="6"/>
        <v>0</v>
      </c>
      <c r="N60" s="229">
        <f t="shared" si="7"/>
        <v>0</v>
      </c>
      <c r="O60" s="111"/>
      <c r="P60" s="225">
        <f t="shared" si="8"/>
        <v>0</v>
      </c>
      <c r="Q60" s="226">
        <f t="shared" si="9"/>
        <v>0</v>
      </c>
      <c r="R60" s="226">
        <f t="shared" si="10"/>
        <v>0</v>
      </c>
      <c r="S60" s="226">
        <f t="shared" si="11"/>
        <v>0</v>
      </c>
      <c r="T60" s="357">
        <f t="shared" si="12"/>
        <v>0</v>
      </c>
      <c r="U60" s="220"/>
      <c r="V60" s="220"/>
      <c r="W60" s="1"/>
      <c r="Y60" s="68">
        <f t="shared" si="13"/>
        <v>0</v>
      </c>
      <c r="Z60" s="69">
        <f t="shared" si="14"/>
        <v>0</v>
      </c>
      <c r="AA60" s="70">
        <f t="shared" si="15"/>
        <v>0</v>
      </c>
      <c r="AB60" s="69">
        <f t="shared" si="16"/>
        <v>0</v>
      </c>
      <c r="AD60" s="158"/>
    </row>
    <row r="61" spans="1:30" ht="13" thickBot="1">
      <c r="A61" s="419"/>
      <c r="B61" s="427"/>
      <c r="C61" s="431"/>
      <c r="D61" s="431"/>
      <c r="E61" s="422"/>
      <c r="F61" s="428"/>
      <c r="G61" s="430"/>
      <c r="H61" s="168">
        <f t="shared" si="1"/>
        <v>0</v>
      </c>
      <c r="I61" s="349">
        <f t="shared" si="2"/>
        <v>0</v>
      </c>
      <c r="J61" s="148">
        <f t="shared" si="3"/>
        <v>0</v>
      </c>
      <c r="K61" s="65">
        <f t="shared" si="4"/>
        <v>0</v>
      </c>
      <c r="L61" s="65">
        <f t="shared" si="5"/>
        <v>0</v>
      </c>
      <c r="M61" s="66">
        <f t="shared" si="6"/>
        <v>0</v>
      </c>
      <c r="N61" s="229">
        <f t="shared" si="7"/>
        <v>0</v>
      </c>
      <c r="O61" s="111"/>
      <c r="P61" s="225">
        <f t="shared" si="8"/>
        <v>0</v>
      </c>
      <c r="Q61" s="226">
        <f t="shared" si="9"/>
        <v>0</v>
      </c>
      <c r="R61" s="226">
        <f t="shared" si="10"/>
        <v>0</v>
      </c>
      <c r="S61" s="226">
        <f t="shared" si="11"/>
        <v>0</v>
      </c>
      <c r="T61" s="357">
        <f t="shared" si="12"/>
        <v>0</v>
      </c>
      <c r="U61" s="220"/>
      <c r="V61" s="220"/>
      <c r="W61" s="1"/>
      <c r="Y61" s="68">
        <f t="shared" si="13"/>
        <v>0</v>
      </c>
      <c r="Z61" s="69">
        <f t="shared" si="14"/>
        <v>0</v>
      </c>
      <c r="AA61" s="70">
        <f t="shared" si="15"/>
        <v>0</v>
      </c>
      <c r="AB61" s="69">
        <f t="shared" si="16"/>
        <v>0</v>
      </c>
    </row>
    <row r="62" spans="1:30" ht="13" thickBot="1">
      <c r="A62" s="32"/>
      <c r="B62" s="167" t="s">
        <v>12</v>
      </c>
      <c r="C62" s="150"/>
      <c r="D62" s="150"/>
      <c r="E62" s="151"/>
      <c r="F62" s="347"/>
      <c r="G62" s="157"/>
      <c r="H62" s="348">
        <f t="shared" ref="H62:N62" si="17">SUM(H42:H61)</f>
        <v>0</v>
      </c>
      <c r="I62" s="350">
        <f t="shared" si="17"/>
        <v>0</v>
      </c>
      <c r="J62" s="351">
        <f t="shared" si="17"/>
        <v>0</v>
      </c>
      <c r="K62" s="352">
        <f t="shared" si="17"/>
        <v>0</v>
      </c>
      <c r="L62" s="352">
        <f t="shared" si="17"/>
        <v>0</v>
      </c>
      <c r="M62" s="350">
        <f t="shared" si="17"/>
        <v>0</v>
      </c>
      <c r="N62" s="353">
        <f t="shared" si="17"/>
        <v>0</v>
      </c>
      <c r="O62" s="134"/>
      <c r="P62" s="139">
        <f>ROUND(SUM(P42:P61),2)</f>
        <v>0</v>
      </c>
      <c r="Q62" s="140">
        <f>ROUND(SUM(Q42:Q61),2)</f>
        <v>0</v>
      </c>
      <c r="R62" s="140">
        <f>ROUND(SUM(R42:R61),2)</f>
        <v>0</v>
      </c>
      <c r="S62" s="284">
        <f>ROUND(SUM(S42:S61),2)</f>
        <v>0</v>
      </c>
      <c r="T62" s="285">
        <f>SUM(T42:T61)</f>
        <v>0</v>
      </c>
      <c r="U62" s="221"/>
      <c r="V62" s="221"/>
      <c r="Y62" s="69">
        <f>SUM(Y42:Y61)</f>
        <v>0</v>
      </c>
      <c r="Z62" s="69">
        <f>SUM(Z42:Z61)</f>
        <v>0</v>
      </c>
      <c r="AA62" s="69">
        <f>SUM(AA42:AA61)</f>
        <v>0</v>
      </c>
      <c r="AB62" s="69">
        <f>SUM(AB42:AB61)</f>
        <v>0</v>
      </c>
      <c r="AD62" s="158"/>
    </row>
    <row r="63" spans="1:30">
      <c r="A63" s="265" t="s">
        <v>81</v>
      </c>
      <c r="B63" s="335"/>
      <c r="C63" s="335"/>
      <c r="D63" s="335"/>
      <c r="E63" s="335"/>
      <c r="F63" s="335"/>
      <c r="G63" s="335"/>
      <c r="H63" s="335"/>
      <c r="I63" s="335"/>
      <c r="J63" s="335"/>
      <c r="K63" s="335"/>
      <c r="L63" s="335"/>
      <c r="M63" s="335"/>
      <c r="N63" s="335"/>
      <c r="O63" s="335"/>
      <c r="P63" s="221"/>
      <c r="Q63" s="221"/>
      <c r="R63" s="221"/>
      <c r="S63" s="221"/>
      <c r="T63" s="221"/>
      <c r="U63" s="221"/>
      <c r="V63" s="221"/>
      <c r="Y63" s="223"/>
      <c r="Z63" s="223"/>
      <c r="AA63" s="223"/>
      <c r="AB63" s="223"/>
      <c r="AD63" s="158"/>
    </row>
    <row r="64" spans="1:30">
      <c r="A64" s="53" t="s">
        <v>73</v>
      </c>
      <c r="B64" s="336"/>
      <c r="C64" s="337"/>
      <c r="D64" s="337"/>
      <c r="E64" s="338"/>
      <c r="F64" s="338"/>
      <c r="G64" s="338"/>
      <c r="H64" s="339"/>
      <c r="I64" s="340"/>
      <c r="J64" s="340"/>
      <c r="K64" s="340"/>
      <c r="L64" s="340"/>
      <c r="M64" s="340"/>
      <c r="N64" s="340"/>
      <c r="O64" s="134"/>
      <c r="P64" s="241"/>
      <c r="Q64" s="221"/>
      <c r="R64" s="333"/>
      <c r="S64" s="333"/>
      <c r="T64" s="221"/>
      <c r="U64" s="221"/>
      <c r="V64" s="221"/>
      <c r="Y64" s="223"/>
      <c r="Z64" s="223"/>
      <c r="AA64" s="223"/>
      <c r="AB64" s="223"/>
      <c r="AD64" s="158"/>
    </row>
    <row r="65" spans="1:34">
      <c r="A65" s="607"/>
      <c r="B65" s="645"/>
      <c r="C65" s="645"/>
      <c r="D65" s="645"/>
      <c r="E65" s="645"/>
      <c r="F65" s="645"/>
      <c r="G65" s="645"/>
      <c r="H65" s="645"/>
      <c r="I65" s="645"/>
      <c r="J65" s="645"/>
      <c r="K65" s="645"/>
      <c r="L65" s="645"/>
      <c r="M65" s="645"/>
      <c r="N65" s="646"/>
      <c r="O65" s="134"/>
      <c r="P65" s="241" t="s">
        <v>105</v>
      </c>
      <c r="Q65" s="288"/>
      <c r="R65" s="584"/>
      <c r="S65" s="585"/>
      <c r="T65" s="586"/>
      <c r="U65" s="221"/>
      <c r="V65" s="221"/>
      <c r="Y65" s="223"/>
      <c r="Z65" s="223"/>
      <c r="AA65" s="223"/>
      <c r="AB65" s="223"/>
      <c r="AD65" s="158"/>
    </row>
    <row r="66" spans="1:34">
      <c r="A66" s="647"/>
      <c r="B66" s="647"/>
      <c r="C66" s="647"/>
      <c r="D66" s="647"/>
      <c r="E66" s="647"/>
      <c r="F66" s="647"/>
      <c r="G66" s="647"/>
      <c r="H66" s="647"/>
      <c r="I66" s="647"/>
      <c r="J66" s="647"/>
      <c r="K66" s="647"/>
      <c r="L66" s="647"/>
      <c r="M66" s="647"/>
      <c r="N66" s="648"/>
      <c r="O66" s="134"/>
      <c r="P66" s="332"/>
      <c r="Q66" s="288"/>
      <c r="R66" s="587"/>
      <c r="S66" s="588"/>
      <c r="T66" s="589"/>
      <c r="U66" s="221"/>
      <c r="V66" s="221"/>
      <c r="Y66" s="223"/>
      <c r="Z66" s="223"/>
      <c r="AA66" s="223"/>
      <c r="AB66" s="223"/>
      <c r="AD66" s="158"/>
    </row>
    <row r="67" spans="1:34">
      <c r="A67" s="649"/>
      <c r="B67" s="649"/>
      <c r="C67" s="649"/>
      <c r="D67" s="649"/>
      <c r="E67" s="649"/>
      <c r="F67" s="649"/>
      <c r="G67" s="649"/>
      <c r="H67" s="649"/>
      <c r="I67" s="649"/>
      <c r="J67" s="649"/>
      <c r="K67" s="649"/>
      <c r="L67" s="649"/>
      <c r="M67" s="649"/>
      <c r="N67" s="650"/>
      <c r="O67" s="134"/>
      <c r="P67" s="332" t="s">
        <v>104</v>
      </c>
      <c r="Q67" s="288"/>
      <c r="R67" s="590"/>
      <c r="S67" s="591"/>
      <c r="T67" s="592"/>
      <c r="U67" s="221"/>
      <c r="V67" s="221"/>
      <c r="Y67" s="223"/>
      <c r="Z67" s="223"/>
      <c r="AA67" s="223"/>
      <c r="AB67" s="223"/>
      <c r="AD67" s="158"/>
    </row>
    <row r="68" spans="1:34">
      <c r="A68" s="31"/>
      <c r="B68" s="53"/>
      <c r="C68" s="53"/>
      <c r="D68" s="53"/>
      <c r="E68" s="53"/>
      <c r="F68" s="53"/>
      <c r="G68" s="53"/>
      <c r="H68" s="222"/>
      <c r="I68" s="134"/>
      <c r="J68" s="134"/>
      <c r="K68" s="134"/>
      <c r="L68" s="134"/>
      <c r="M68" s="134"/>
      <c r="N68" s="134"/>
      <c r="O68" s="134"/>
      <c r="P68" s="221"/>
      <c r="Q68" s="221"/>
      <c r="R68" s="540" t="s">
        <v>193</v>
      </c>
      <c r="S68" s="221"/>
      <c r="T68" s="221"/>
      <c r="U68" s="221"/>
      <c r="V68" s="221"/>
      <c r="Y68" s="223"/>
      <c r="Z68" s="223"/>
      <c r="AA68" s="223"/>
      <c r="AB68" s="223"/>
    </row>
    <row r="69" spans="1:34" hidden="1">
      <c r="A69" s="31"/>
      <c r="B69" s="53"/>
      <c r="C69" s="53"/>
      <c r="D69" s="53"/>
      <c r="E69" s="53"/>
      <c r="F69" s="53"/>
      <c r="G69" s="53"/>
      <c r="H69" s="222"/>
      <c r="I69" s="134"/>
      <c r="J69" s="134"/>
      <c r="K69" s="134"/>
      <c r="L69" s="134"/>
      <c r="M69" s="134"/>
      <c r="N69" s="134"/>
      <c r="O69" s="134"/>
      <c r="P69" s="221"/>
      <c r="Q69" s="221"/>
      <c r="R69" s="221"/>
      <c r="S69" s="221"/>
      <c r="T69" s="221"/>
      <c r="U69" s="221"/>
      <c r="V69" s="221"/>
      <c r="Y69" s="223"/>
      <c r="Z69" s="223"/>
      <c r="AA69" s="223"/>
      <c r="AB69" s="223"/>
    </row>
    <row r="70" spans="1:34" hidden="1">
      <c r="A70" s="31"/>
      <c r="B70" s="53"/>
      <c r="C70" s="53"/>
      <c r="D70" s="53"/>
      <c r="E70" s="53"/>
      <c r="F70" s="53"/>
      <c r="G70" s="53"/>
      <c r="H70" s="222"/>
      <c r="I70" s="134"/>
      <c r="J70" s="134"/>
      <c r="K70" s="134"/>
      <c r="L70" s="134"/>
      <c r="M70" s="134"/>
      <c r="N70" s="134"/>
      <c r="O70" s="134"/>
      <c r="P70" s="221"/>
      <c r="Q70" s="221"/>
      <c r="R70" s="221"/>
      <c r="S70" s="221"/>
      <c r="T70" s="221"/>
      <c r="U70" s="221"/>
      <c r="V70" s="221"/>
      <c r="Y70" s="223"/>
      <c r="Z70" s="223"/>
      <c r="AA70" s="223"/>
      <c r="AB70" s="223"/>
    </row>
    <row r="71" spans="1:34" hidden="1">
      <c r="A71" s="31"/>
      <c r="B71" s="53"/>
      <c r="C71" s="53"/>
      <c r="D71" s="53"/>
      <c r="E71" s="53"/>
      <c r="F71" s="53"/>
      <c r="G71" s="53"/>
      <c r="H71" s="222"/>
      <c r="I71" s="134"/>
      <c r="J71" s="134"/>
      <c r="K71" s="134"/>
      <c r="L71" s="134"/>
      <c r="M71" s="134"/>
      <c r="N71" s="134"/>
      <c r="O71" s="134"/>
      <c r="P71" s="221"/>
      <c r="Q71" s="221"/>
      <c r="R71" s="221"/>
      <c r="S71" s="221"/>
      <c r="T71" s="221"/>
      <c r="U71" s="221"/>
      <c r="V71" s="221"/>
      <c r="Y71" s="223"/>
      <c r="Z71" s="223"/>
      <c r="AA71" s="223"/>
      <c r="AB71" s="223"/>
    </row>
    <row r="72" spans="1:34" hidden="1">
      <c r="A72" s="31"/>
      <c r="B72" s="53"/>
      <c r="C72" s="53"/>
      <c r="D72" s="53"/>
      <c r="E72" s="53"/>
      <c r="F72" s="53"/>
      <c r="G72" s="53"/>
      <c r="H72" s="222"/>
      <c r="I72" s="134"/>
      <c r="J72" s="134"/>
      <c r="K72" s="134"/>
      <c r="L72" s="134"/>
      <c r="M72" s="134"/>
      <c r="N72" s="134"/>
      <c r="O72" s="134"/>
      <c r="P72" s="221"/>
      <c r="Q72" s="221"/>
      <c r="R72" s="221"/>
      <c r="S72" s="221"/>
      <c r="T72" s="221"/>
      <c r="U72" s="221"/>
      <c r="V72" s="221"/>
      <c r="Y72" s="223"/>
      <c r="Z72" s="223"/>
      <c r="AA72" s="223"/>
      <c r="AB72" s="223"/>
    </row>
    <row r="73" spans="1:34" hidden="1">
      <c r="A73" s="31"/>
      <c r="B73" s="53"/>
      <c r="C73" s="53"/>
      <c r="D73" s="53"/>
      <c r="E73" s="53"/>
      <c r="F73" s="53"/>
      <c r="G73" s="53"/>
      <c r="H73" s="222"/>
      <c r="I73" s="134"/>
      <c r="J73" s="134"/>
      <c r="K73" s="134"/>
      <c r="L73" s="134"/>
      <c r="M73" s="134"/>
      <c r="N73" s="134"/>
      <c r="O73" s="134"/>
      <c r="P73" s="221"/>
      <c r="Q73" s="221"/>
      <c r="R73" s="221"/>
      <c r="S73" s="221"/>
      <c r="T73" s="221"/>
      <c r="U73" s="221"/>
      <c r="V73" s="221"/>
      <c r="Y73" s="223"/>
      <c r="Z73" s="223"/>
      <c r="AA73" s="223"/>
      <c r="AB73" s="223"/>
    </row>
    <row r="74" spans="1:34" hidden="1">
      <c r="A74" s="31"/>
      <c r="B74" s="53"/>
      <c r="C74" s="53"/>
      <c r="D74" s="53"/>
      <c r="E74" s="53"/>
      <c r="F74" s="53"/>
      <c r="G74" s="53"/>
      <c r="H74" s="222"/>
      <c r="I74" s="134"/>
      <c r="J74" s="134"/>
      <c r="K74" s="134"/>
      <c r="L74" s="134"/>
      <c r="M74" s="134"/>
      <c r="N74" s="134"/>
      <c r="O74" s="134"/>
      <c r="P74" s="221"/>
      <c r="Q74" s="221"/>
      <c r="R74" s="221"/>
      <c r="S74" s="221"/>
      <c r="T74" s="221"/>
      <c r="U74" s="221"/>
      <c r="V74" s="221"/>
      <c r="Y74" s="223"/>
      <c r="Z74" s="223"/>
      <c r="AA74" s="223"/>
      <c r="AB74" s="223"/>
    </row>
    <row r="75" spans="1:34" hidden="1">
      <c r="A75" s="31"/>
      <c r="B75" s="53"/>
      <c r="C75" s="53"/>
      <c r="D75" s="53"/>
      <c r="E75" s="53"/>
      <c r="F75" s="53"/>
      <c r="G75" s="53"/>
      <c r="H75" s="222"/>
      <c r="I75" s="134"/>
      <c r="J75" s="134"/>
      <c r="K75" s="134"/>
      <c r="L75" s="134"/>
      <c r="M75" s="134"/>
      <c r="N75" s="134"/>
      <c r="O75" s="134"/>
      <c r="P75" s="221"/>
      <c r="Q75" s="221"/>
      <c r="R75" s="221"/>
      <c r="S75" s="221"/>
      <c r="T75" s="221"/>
      <c r="U75" s="221"/>
      <c r="V75" s="221"/>
      <c r="Y75" s="223"/>
      <c r="Z75" s="223"/>
      <c r="AA75" s="223"/>
      <c r="AB75" s="223"/>
    </row>
    <row r="76" spans="1:34" hidden="1">
      <c r="A76" s="31"/>
      <c r="B76" s="53"/>
      <c r="C76" s="53"/>
      <c r="D76" s="53"/>
      <c r="E76" s="53"/>
      <c r="F76" s="53"/>
      <c r="G76" s="53"/>
      <c r="H76" s="222"/>
      <c r="I76" s="134"/>
      <c r="J76" s="134"/>
      <c r="K76" s="134"/>
      <c r="L76" s="134"/>
      <c r="M76" s="134"/>
      <c r="N76" s="134"/>
      <c r="O76" s="134"/>
      <c r="P76" s="221"/>
      <c r="Q76" s="221"/>
      <c r="R76" s="221"/>
      <c r="S76" s="221"/>
      <c r="T76" s="221"/>
      <c r="U76" s="221"/>
      <c r="V76" s="221"/>
      <c r="Y76" s="223"/>
      <c r="Z76" s="223"/>
      <c r="AA76" s="223"/>
      <c r="AB76" s="223"/>
    </row>
    <row r="77" spans="1:34" hidden="1">
      <c r="G77" s="158"/>
      <c r="X77" s="82"/>
      <c r="Y77" s="82"/>
      <c r="Z77" s="82"/>
      <c r="AA77" s="82"/>
      <c r="AB77" s="82"/>
      <c r="AG77">
        <v>0.27</v>
      </c>
      <c r="AH77" t="s">
        <v>31</v>
      </c>
    </row>
    <row r="78" spans="1:34" ht="13" hidden="1" thickBot="1">
      <c r="B78" s="74" t="s">
        <v>13</v>
      </c>
      <c r="C78" s="77"/>
      <c r="D78" s="77"/>
      <c r="E78" s="14" t="s">
        <v>10</v>
      </c>
      <c r="F78" s="129"/>
      <c r="G78" s="129"/>
      <c r="H78" s="129"/>
      <c r="I78" s="129"/>
      <c r="J78" s="155">
        <f>ROUND(IF(ISERROR($E$30*(J36/Annual_Salary)),0,$E$30*(J36/Annual_Salary)),4)</f>
        <v>0</v>
      </c>
      <c r="K78" s="155">
        <f>ROUND(IF(ISERROR($E$30*((K36)/Annual_Salary)),0,$E$30*((K36)/Annual_Salary)),4)</f>
        <v>0</v>
      </c>
      <c r="L78" s="155">
        <f>ROUND(IF(ISERROR($E$30*((L36)/Annual_Salary)),0,$E$30*((L36)/Annual_Salary)),4)</f>
        <v>0</v>
      </c>
      <c r="M78" s="156">
        <f>IF(ISERROR($E$30-SUM(J78:L78)),0,$E$30-SUM(J78:L78))</f>
        <v>0</v>
      </c>
      <c r="N78" s="67">
        <f t="shared" ref="N78:N98" si="18">SUM(J78:M78)</f>
        <v>0</v>
      </c>
      <c r="O78" s="134"/>
      <c r="P78" s="143"/>
      <c r="Q78" s="134"/>
      <c r="R78" s="218"/>
      <c r="S78" s="134"/>
      <c r="T78" s="134"/>
      <c r="U78" s="134"/>
      <c r="V78" s="134"/>
      <c r="X78" s="95"/>
      <c r="Y78" s="35"/>
      <c r="Z78" s="35"/>
      <c r="AA78" s="35"/>
      <c r="AB78" s="79"/>
      <c r="AG78" s="71">
        <f>SUM(AG45:AG77)</f>
        <v>0.27</v>
      </c>
    </row>
    <row r="79" spans="1:34" hidden="1">
      <c r="B79" s="75" t="s">
        <v>14</v>
      </c>
      <c r="C79" s="78"/>
      <c r="D79" s="78"/>
      <c r="E79" s="3"/>
      <c r="F79" s="3"/>
      <c r="G79" s="3"/>
      <c r="H79" s="3"/>
      <c r="I79" s="3"/>
      <c r="J79" s="70">
        <f>IF(ISERROR(J78-J42),0,J78-J42)</f>
        <v>0</v>
      </c>
      <c r="K79" s="70">
        <f>IF(ISERROR(K78-K42),0,K78-K42)</f>
        <v>0</v>
      </c>
      <c r="L79" s="70">
        <f>IF(ISERROR(L78-L42),0,L78-L42)</f>
        <v>0</v>
      </c>
      <c r="M79" s="70">
        <f>IF(ISERROR(M78-M42),0,M78-M42)</f>
        <v>0</v>
      </c>
      <c r="N79" s="69">
        <f t="shared" si="18"/>
        <v>0</v>
      </c>
      <c r="O79" s="135"/>
      <c r="P79" s="135"/>
      <c r="Q79" s="135"/>
      <c r="R79" s="135"/>
      <c r="S79" s="135"/>
      <c r="T79" s="135"/>
      <c r="U79" s="135"/>
      <c r="V79" s="135"/>
      <c r="X79" s="81"/>
      <c r="Y79" s="92"/>
      <c r="Z79" s="88"/>
      <c r="AA79" s="92"/>
      <c r="AB79" s="128"/>
    </row>
    <row r="80" spans="1:34" hidden="1">
      <c r="B80" s="75" t="s">
        <v>15</v>
      </c>
      <c r="C80" s="78"/>
      <c r="D80" s="78"/>
      <c r="E80" s="9" t="s">
        <v>11</v>
      </c>
      <c r="F80" s="9"/>
      <c r="G80" s="9"/>
      <c r="H80" s="9"/>
      <c r="I80" s="9"/>
      <c r="J80" s="69">
        <f>IF(ISERROR(J78-J42-J43),0,J78-J42-J43)</f>
        <v>0</v>
      </c>
      <c r="K80" s="69">
        <f>IF(ISERROR(K78-K42-K43),0,K78-K42-K43)</f>
        <v>0</v>
      </c>
      <c r="L80" s="69">
        <f>IF(ISERROR(L78-L42-L43),0,L78-L42-L43)</f>
        <v>0</v>
      </c>
      <c r="M80" s="69">
        <f>IF(ISERROR(M78-M42-M43),0,M78-M42-M43)</f>
        <v>0</v>
      </c>
      <c r="N80" s="69">
        <f t="shared" si="18"/>
        <v>0</v>
      </c>
      <c r="O80" s="135"/>
      <c r="P80" s="135"/>
      <c r="Q80" s="135">
        <f>Q79-Q78</f>
        <v>0</v>
      </c>
      <c r="R80" s="135"/>
      <c r="S80" s="135"/>
      <c r="T80" s="135"/>
      <c r="U80" s="135"/>
      <c r="V80" s="135"/>
      <c r="X80" s="96"/>
      <c r="Y80" s="79"/>
      <c r="Z80" s="97"/>
      <c r="AA80" s="35"/>
      <c r="AB80" s="89"/>
    </row>
    <row r="81" spans="2:28" hidden="1">
      <c r="B81" s="76"/>
      <c r="C81" s="79"/>
      <c r="D81" s="79"/>
      <c r="E81" s="7"/>
      <c r="F81" s="7"/>
      <c r="G81" s="7"/>
      <c r="H81" s="7"/>
      <c r="I81" s="7"/>
      <c r="J81" s="70">
        <f>IF(ISERROR(J78-J42-J43-J44),0,J78-J42-J43-J44)</f>
        <v>0</v>
      </c>
      <c r="K81" s="70">
        <f>IF(ISERROR(K78-K42-K43-K44),0,K78-K42-K43-K44)</f>
        <v>0</v>
      </c>
      <c r="L81" s="70">
        <f>IF(ISERROR(L78-L42-L43-L44),0,L78-L42-L43-L44)</f>
        <v>0</v>
      </c>
      <c r="M81" s="70">
        <f>IF(ISERROR(M78-M42-M43-M44),0,M78-M42-M43-M44)</f>
        <v>0</v>
      </c>
      <c r="N81" s="69">
        <f t="shared" si="18"/>
        <v>0</v>
      </c>
      <c r="O81" s="135"/>
      <c r="P81" s="135"/>
      <c r="Q81" s="135"/>
      <c r="R81" s="135"/>
      <c r="S81" s="135"/>
      <c r="T81" s="135"/>
      <c r="U81" s="135"/>
      <c r="V81" s="135"/>
      <c r="X81" s="85"/>
      <c r="Y81" s="87"/>
      <c r="Z81" s="86"/>
      <c r="AA81" s="86"/>
      <c r="AB81" s="87"/>
    </row>
    <row r="82" spans="2:28" hidden="1">
      <c r="B82" s="76"/>
      <c r="C82" s="79"/>
      <c r="D82" s="79"/>
      <c r="E82" s="7"/>
      <c r="F82" s="7"/>
      <c r="G82" s="7"/>
      <c r="H82" s="7"/>
      <c r="I82" s="7"/>
      <c r="J82" s="69">
        <f>IF(ISERROR(J78-J42-J43-J44-J45),0,J78-J42-J43-J44-J45)</f>
        <v>0</v>
      </c>
      <c r="K82" s="69">
        <f>IF(ISERROR(K78-K42-K43-K44-K45),0,K78-K42-K43-K44-K45)</f>
        <v>0</v>
      </c>
      <c r="L82" s="69">
        <f>IF(ISERROR(L78-L42-L43-L44-L45),0,L78-L42-L43-L44-L45)</f>
        <v>0</v>
      </c>
      <c r="M82" s="69">
        <f>IF(ISERROR(M78-M42-M43-M44-M45),0,M78-M42-M43-M44-M45)</f>
        <v>0</v>
      </c>
      <c r="N82" s="69">
        <f t="shared" si="18"/>
        <v>0</v>
      </c>
      <c r="O82" s="135"/>
      <c r="P82" s="135"/>
      <c r="Q82" s="135"/>
      <c r="R82" s="135"/>
      <c r="S82" s="135"/>
      <c r="T82" s="135"/>
      <c r="U82" s="135"/>
      <c r="V82" s="135"/>
      <c r="X82" s="90"/>
      <c r="Y82" s="94"/>
      <c r="Z82" s="92"/>
      <c r="AA82" s="93"/>
      <c r="AB82" s="94"/>
    </row>
    <row r="83" spans="2:28" hidden="1">
      <c r="B83" s="76"/>
      <c r="C83" s="79"/>
      <c r="D83" s="79"/>
      <c r="E83" s="7"/>
      <c r="F83" s="7"/>
      <c r="G83" s="7"/>
      <c r="H83" s="7"/>
      <c r="I83" s="7"/>
      <c r="J83" s="70">
        <f>IF(ISERROR(J78-J42-J43-J44-J45-J46),0,J78-J42-J43-J44-J45-J46)</f>
        <v>0</v>
      </c>
      <c r="K83" s="70">
        <f>IF(ISERROR(K78-K42-K43-K44-K45-K46),0,K78-K42-K43-K44-K45-K46)</f>
        <v>0</v>
      </c>
      <c r="L83" s="70">
        <f>IF(ISERROR(L78-L42-L43-L44-L45-L46),0,L78-L42-L43-L44-L45-L46)</f>
        <v>0</v>
      </c>
      <c r="M83" s="70">
        <f>IF(ISERROR(M78-M42-M43-M44-M45-M46),0,M78-M42-M43-M44-M45-M46)</f>
        <v>0</v>
      </c>
      <c r="N83" s="69">
        <f t="shared" si="18"/>
        <v>0</v>
      </c>
      <c r="O83" s="135"/>
      <c r="P83" s="135"/>
      <c r="Q83" s="135"/>
      <c r="R83" s="135"/>
      <c r="S83" s="135"/>
      <c r="T83" s="135"/>
      <c r="U83" s="135"/>
      <c r="V83" s="135"/>
      <c r="X83" s="90"/>
      <c r="Y83" s="112"/>
      <c r="Z83" s="92"/>
      <c r="AA83" s="91"/>
      <c r="AB83" s="98"/>
    </row>
    <row r="84" spans="2:28" hidden="1">
      <c r="B84" s="76"/>
      <c r="C84" s="79"/>
      <c r="D84" s="79"/>
      <c r="E84" s="7"/>
      <c r="F84" s="7"/>
      <c r="G84" s="7"/>
      <c r="H84" s="7"/>
      <c r="I84" s="7"/>
      <c r="J84" s="69">
        <f>IF(ISERROR(J78-J42-J43-J44-J45-J46-J47),0,J78-J42-J43-J44-J45-J46-J47)</f>
        <v>0</v>
      </c>
      <c r="K84" s="69">
        <f>IF(ISERROR(K78-K42-K43-K44-K45-K46-K47),0,K78-K42-K43-K44-K45-K46-K47)</f>
        <v>0</v>
      </c>
      <c r="L84" s="69">
        <f>IF(ISERROR(L78-L42-L43-L44-L45-L46-L47),0,L78-L42-L43-L44-L45-L46-L47)</f>
        <v>0</v>
      </c>
      <c r="M84" s="69">
        <f>IF(ISERROR(M78-M42-M43-M44-M45-M46-M47),0,M78-M42-M43-M44-M45-M46-M47)</f>
        <v>0</v>
      </c>
      <c r="N84" s="69">
        <f t="shared" si="18"/>
        <v>0</v>
      </c>
      <c r="O84" s="135"/>
      <c r="P84" s="135"/>
      <c r="Q84" s="135"/>
      <c r="R84" s="135"/>
      <c r="S84" s="135"/>
      <c r="T84" s="135"/>
      <c r="U84" s="135"/>
      <c r="V84" s="135"/>
      <c r="X84" s="90"/>
      <c r="Y84" s="112"/>
      <c r="Z84" s="92"/>
      <c r="AA84" s="91"/>
      <c r="AB84" s="98"/>
    </row>
    <row r="85" spans="2:28" hidden="1">
      <c r="B85" s="76"/>
      <c r="C85" s="79"/>
      <c r="D85" s="79"/>
      <c r="E85" s="7"/>
      <c r="F85" s="7"/>
      <c r="G85" s="7"/>
      <c r="H85" s="7"/>
      <c r="I85" s="7"/>
      <c r="J85" s="70">
        <f>IF(ISERROR(J78-J42-J43-J44-J45-J46-J47-J48),0,J78-J42-J43-J44-J45-J46-J47-J48)</f>
        <v>0</v>
      </c>
      <c r="K85" s="70">
        <f>IF(ISERROR(K78-K42-K43-K44-K45-K46-K47-K48),0,K78-K42-K43-K44-K45-K46-K47-K48)</f>
        <v>0</v>
      </c>
      <c r="L85" s="70">
        <f>IF(ISERROR(L78-L42-L43-L44-L45-L46-L47-L48),0,L78-L42-L43-L44-L45-L46-L47-L48)</f>
        <v>0</v>
      </c>
      <c r="M85" s="70">
        <f>IF(ISERROR(M78-M42-M43-M44-M45-M46-M47-M48),0,M78-M42-M43-M44-M45-M46-M47-M48)</f>
        <v>0</v>
      </c>
      <c r="N85" s="69">
        <f t="shared" si="18"/>
        <v>0</v>
      </c>
      <c r="O85" s="135"/>
      <c r="P85" s="135"/>
      <c r="Q85" s="135"/>
      <c r="R85" s="135"/>
      <c r="S85" s="135"/>
      <c r="T85" s="135"/>
      <c r="U85" s="135"/>
      <c r="V85" s="135"/>
      <c r="X85" s="90"/>
      <c r="Y85" s="112"/>
      <c r="Z85" s="92"/>
      <c r="AA85" s="91"/>
      <c r="AB85" s="98"/>
    </row>
    <row r="86" spans="2:28" hidden="1">
      <c r="B86" s="76"/>
      <c r="C86" s="79"/>
      <c r="D86" s="79"/>
      <c r="E86" s="7"/>
      <c r="F86" s="7"/>
      <c r="G86" s="7"/>
      <c r="H86" s="7"/>
      <c r="I86" s="7"/>
      <c r="J86" s="69">
        <f>IF(ISERROR(J78-J42-J43-J44-J45-J46-J47-J48-J49),0,J78-J42-J43-J44-J45-J46-J47-J48-J49)</f>
        <v>0</v>
      </c>
      <c r="K86" s="69">
        <f>IF(ISERROR(K78-K42-K43-K44-K45-K46-K47-K48-K49),0,K78-K42-K43-K44-K45-K46-K47-K48-K49)</f>
        <v>0</v>
      </c>
      <c r="L86" s="69">
        <f>IF(ISERROR(L78-L42-L43-L44-L45-L46-L47-L48-L49),0,L78-L42-L43-L44-L45-L46-L47-L48-L49)</f>
        <v>0</v>
      </c>
      <c r="M86" s="69">
        <f>IF(ISERROR(M78-M42-M43-M44-M45-M46-M47-M48-M49),0,M78-M42-M43-M44-M45-M46-M47-M48-M49)</f>
        <v>0</v>
      </c>
      <c r="N86" s="69">
        <f t="shared" si="18"/>
        <v>0</v>
      </c>
      <c r="O86" s="135"/>
      <c r="P86" s="135"/>
      <c r="Q86" s="135"/>
      <c r="R86" s="135"/>
      <c r="S86" s="135"/>
      <c r="T86" s="135"/>
      <c r="U86" s="135"/>
      <c r="V86" s="135"/>
      <c r="X86" s="90"/>
      <c r="Y86" s="112"/>
      <c r="Z86" s="92"/>
      <c r="AA86" s="91"/>
      <c r="AB86" s="98"/>
    </row>
    <row r="87" spans="2:28" hidden="1">
      <c r="B87" s="76"/>
      <c r="C87" s="79"/>
      <c r="D87" s="79"/>
      <c r="E87" s="7"/>
      <c r="F87" s="7"/>
      <c r="G87" s="7"/>
      <c r="H87" s="7"/>
      <c r="I87" s="7"/>
      <c r="J87" s="69">
        <f>IF(ISERROR(J78-J42-J43-J44-J45-J46-J47-J48-J49-J50),0,J78-J42-J43-J44-J45-J46-J47-J48-J49-J50)</f>
        <v>0</v>
      </c>
      <c r="K87" s="69">
        <f>IF(ISERROR(K78-K42-K43-K44-K45-K46-K47-K48-K49-K50),0,K78-K42-K43-K44-K45-K46-K47-K48-K49-K50)</f>
        <v>0</v>
      </c>
      <c r="L87" s="69">
        <f>IF(ISERROR(L78-L42-L43-L44-L45-L46-L47-L48-L49-L50),0,L78-L42-L43-L44-L45-L46-L47-L48-L49-L50)</f>
        <v>0</v>
      </c>
      <c r="M87" s="69">
        <f>IF(ISERROR(M78-M42-M43-M44-M45-M46-M47-M48-M49-M50),0,M78-M42-M43-M44-M45-M46-M47-M48-M49-M50)</f>
        <v>0</v>
      </c>
      <c r="N87" s="69">
        <f t="shared" si="18"/>
        <v>0</v>
      </c>
      <c r="O87" s="135"/>
      <c r="P87" s="135"/>
      <c r="Q87" s="135"/>
      <c r="R87" s="135"/>
      <c r="S87" s="135"/>
      <c r="T87" s="135"/>
      <c r="U87" s="135"/>
      <c r="V87" s="135"/>
      <c r="X87" s="358"/>
      <c r="Y87" s="359"/>
      <c r="Z87" s="31"/>
      <c r="AA87" s="360"/>
      <c r="AB87" s="361"/>
    </row>
    <row r="88" spans="2:28" hidden="1">
      <c r="B88" s="76"/>
      <c r="C88" s="79"/>
      <c r="D88" s="79"/>
      <c r="E88" s="7"/>
      <c r="F88" s="7"/>
      <c r="G88" s="7"/>
      <c r="H88" s="7"/>
      <c r="I88" s="7"/>
      <c r="J88" s="69">
        <f>IF(ISERROR(J78-J42-J43-J44-J45-J46-J47-J48-J49-J50-J51),0,J78-J42-J43-J44-J45-J46-J47-J48-J49-J50-J51)</f>
        <v>0</v>
      </c>
      <c r="K88" s="69">
        <f>IF(ISERROR(K78-K42-K43-K44-K45-K46-K47-K48-K49-K50-K51),0,K78-K42-K43-K44-K45-K46-K47-K48-K49-K50-K51)</f>
        <v>0</v>
      </c>
      <c r="L88" s="69">
        <f>IF(ISERROR(L78-L42-L43-L44-L45-L46-L47-L48-L49-L50-L51),0,L78-L42-L43-L44-L45-L46-L47-L48-L49-L50-L51)</f>
        <v>0</v>
      </c>
      <c r="M88" s="69">
        <f>IF(ISERROR(M78-M42-M43-M44-M45-M46-M47-M48-M49-M50-M51),0,M78-M42-M43-M44-M45-M46-M47-M48-M49-M50-M51)</f>
        <v>0</v>
      </c>
      <c r="N88" s="69">
        <f t="shared" si="18"/>
        <v>0</v>
      </c>
      <c r="O88" s="135"/>
      <c r="P88" s="135"/>
      <c r="Q88" s="135"/>
      <c r="R88" s="135"/>
      <c r="S88" s="135"/>
      <c r="T88" s="135"/>
      <c r="U88" s="135"/>
      <c r="V88" s="135"/>
      <c r="X88" s="358"/>
      <c r="Y88" s="359"/>
      <c r="Z88" s="31"/>
      <c r="AA88" s="360"/>
      <c r="AB88" s="361"/>
    </row>
    <row r="89" spans="2:28" hidden="1">
      <c r="B89" s="76"/>
      <c r="C89" s="79"/>
      <c r="D89" s="79"/>
      <c r="E89" s="7"/>
      <c r="F89" s="7"/>
      <c r="G89" s="7"/>
      <c r="H89" s="7"/>
      <c r="I89" s="7"/>
      <c r="J89" s="69">
        <f>IF(ISERROR(J78-J42-J43-J44-J45-J46-J47-J48-J49-J50-J51-J52),0,J78-J42-J43-J44-J45-J46-J47-J48-J49-J50-J51-J52)</f>
        <v>0</v>
      </c>
      <c r="K89" s="69">
        <f>IF(ISERROR(K78-K42-K43-K44-K45-K46-K47-K48-K49-K50-K51-K52),0,K78-K42-K43-K44-K45-K46-K47-K48-K49-K50-K51-K52)</f>
        <v>0</v>
      </c>
      <c r="L89" s="69">
        <f>IF(ISERROR(L78-L42-L43-L44-L45-L46-L47-L48-L49-L50-L51-L52),0,L78-L42-L43-L44-L45-L46-L47-L48-L49-L50-L51-L52)</f>
        <v>0</v>
      </c>
      <c r="M89" s="69">
        <f>IF(ISERROR(M78-M42-M43-M44-M45-M46-M47-M48-M49-M50-M51-M52),0,M78-M42-M43-M44-M45-M46-M47-M48-M49-M50-M51-M52)</f>
        <v>0</v>
      </c>
      <c r="N89" s="69">
        <f t="shared" si="18"/>
        <v>0</v>
      </c>
      <c r="O89" s="135"/>
      <c r="P89" s="135"/>
      <c r="Q89" s="135"/>
      <c r="R89" s="135"/>
      <c r="S89" s="135"/>
      <c r="T89" s="135"/>
      <c r="U89" s="135"/>
      <c r="V89" s="135"/>
      <c r="X89" s="358"/>
      <c r="Y89" s="359"/>
      <c r="Z89" s="31"/>
      <c r="AA89" s="360"/>
      <c r="AB89" s="361"/>
    </row>
    <row r="90" spans="2:28" hidden="1">
      <c r="B90" s="76"/>
      <c r="C90" s="79"/>
      <c r="D90" s="79"/>
      <c r="E90" s="7"/>
      <c r="F90" s="7"/>
      <c r="G90" s="7"/>
      <c r="H90" s="7"/>
      <c r="I90" s="7"/>
      <c r="J90" s="69">
        <f>IF(ISERROR(J78-J42-J43-J44-J45-J46-J47-J48-J49-J50-J51-J52-J53),0,J78-J42-J43-J44-J45-J46-J47-J48-J49-J50-J51-J52-J53)</f>
        <v>0</v>
      </c>
      <c r="K90" s="69">
        <f>IF(ISERROR(K78-K42-K43-K44-K45-K46-K47-K48-K49-K50-K51-K52-K53),0,K78-K42-K43-K44-K45-K46-K47-K48-K49-K50-K51-K52-K53)</f>
        <v>0</v>
      </c>
      <c r="L90" s="69">
        <f>IF(ISERROR(L78-L42-L43-L44-L45-L46-L47-L48-L49-L50-L51-L52-L53),0,L78-L42-L43-L44-L45-L46-L47-L48-L49-L50-L51-L52-L53)</f>
        <v>0</v>
      </c>
      <c r="M90" s="69">
        <f>IF(ISERROR(M78-M42-M43-M44-M45-M46-M47-M48-M49-M50-M51-M52-M53),0,M78-M42-M43-M44-M45-M46-M47-M48-M49-M50-M51-M52-M53)</f>
        <v>0</v>
      </c>
      <c r="N90" s="69">
        <f t="shared" si="18"/>
        <v>0</v>
      </c>
      <c r="O90" s="135"/>
      <c r="P90" s="135"/>
      <c r="Q90" s="135"/>
      <c r="R90" s="135"/>
      <c r="S90" s="135"/>
      <c r="T90" s="135"/>
      <c r="U90" s="135"/>
      <c r="V90" s="135"/>
      <c r="X90" s="358"/>
      <c r="Y90" s="359"/>
      <c r="Z90" s="31"/>
      <c r="AA90" s="360"/>
      <c r="AB90" s="361"/>
    </row>
    <row r="91" spans="2:28" hidden="1">
      <c r="B91" s="76"/>
      <c r="C91" s="79"/>
      <c r="D91" s="79"/>
      <c r="E91" s="7"/>
      <c r="F91" s="7"/>
      <c r="G91" s="7"/>
      <c r="H91" s="7"/>
      <c r="I91" s="7"/>
      <c r="J91" s="69">
        <f>IF(ISERROR(J78-J42-J43-J44-J45-J46-J47-J48-J49-J50-J51-J52-J53-J54),0,J78-J42-J43-J44-J45-J46-J47-J48-J49-J50-J51-J52-J53-J54)</f>
        <v>0</v>
      </c>
      <c r="K91" s="69">
        <f>IF(ISERROR(K78-K42-K43-K44-K45-K46-K47-K48-K49-K50-K51-K52-K53-K54),0,K78-K42-K43-K44-K45-K46-K47-K48-K49-K50-K51-K52-K53-K54)</f>
        <v>0</v>
      </c>
      <c r="L91" s="69">
        <f>IF(ISERROR(L78-L42-L43-L44-L45-L46-L47-L48-L49-L50-L51-L52-L53-L54),0,L78-L42-L43-L44-L45-L46-L47-L48-L49-L50-L51-L52-L53-L54)</f>
        <v>0</v>
      </c>
      <c r="M91" s="69">
        <f>IF(ISERROR(M78-M42-M43-M44-M45-M46-M47-M48-M49-M50-M51-M52-M53-M54),0,M78-M42-M43-M44-M45-M46-M47-M48-M49-M50-M51-M52-M53-M54)</f>
        <v>0</v>
      </c>
      <c r="N91" s="69">
        <f t="shared" si="18"/>
        <v>0</v>
      </c>
      <c r="O91" s="135"/>
      <c r="P91" s="135"/>
      <c r="Q91" s="135"/>
      <c r="R91" s="135"/>
      <c r="S91" s="135"/>
      <c r="T91" s="135"/>
      <c r="U91" s="135"/>
      <c r="V91" s="135"/>
      <c r="X91" s="358"/>
      <c r="Y91" s="359"/>
      <c r="Z91" s="31"/>
      <c r="AA91" s="360"/>
      <c r="AB91" s="361"/>
    </row>
    <row r="92" spans="2:28" hidden="1">
      <c r="B92" s="76"/>
      <c r="C92" s="79"/>
      <c r="D92" s="79"/>
      <c r="E92" s="7"/>
      <c r="F92" s="7"/>
      <c r="G92" s="7"/>
      <c r="H92" s="7"/>
      <c r="I92" s="7"/>
      <c r="J92" s="69">
        <f>IF(ISERROR(J78-J42-J43-J44-J45-J46-J47-J48-J49-J50-J51-J52-J53-J54-J55),0,J78-J42-J43-J44-J45-J46-J47-J48-J49-J50-J51-J52-J53-J54-J55)</f>
        <v>0</v>
      </c>
      <c r="K92" s="69">
        <f>IF(ISERROR(K78-K42-K43-K44-K45-K46-K47-K48-K49-K50-K51-K52-K53-K54-K55),0,K78-K42-K43-K44-K45-K46-K47-K48-K49-K50-K51-K52-K53-K54-K55)</f>
        <v>0</v>
      </c>
      <c r="L92" s="69">
        <f>IF(ISERROR(L78-L42-L43-L44-L45-L46-L47-L48-L49-L50-L51-L52-L53-L54-L55),0,L78-L42-L43-L44-L45-L46-L47-L48-L49-L50-L51-L52-L53-L54-L55)</f>
        <v>0</v>
      </c>
      <c r="M92" s="69">
        <f>IF(ISERROR(M78-M42-M43-M44-M45-M46-M47-M48-M49-M50-M51-M52-M53-M54-M55),0,M78-M42-M43-M44-M45-M46-M47-M48-M49-M50-M51-M52-M53-M54-M55)</f>
        <v>0</v>
      </c>
      <c r="N92" s="69">
        <f t="shared" si="18"/>
        <v>0</v>
      </c>
      <c r="O92" s="135"/>
      <c r="P92" s="135"/>
      <c r="Q92" s="135"/>
      <c r="R92" s="135"/>
      <c r="S92" s="135"/>
      <c r="T92" s="135"/>
      <c r="U92" s="135"/>
      <c r="V92" s="135"/>
      <c r="X92" s="358"/>
      <c r="Y92" s="359"/>
      <c r="Z92" s="31"/>
      <c r="AA92" s="360"/>
      <c r="AB92" s="361"/>
    </row>
    <row r="93" spans="2:28" hidden="1">
      <c r="B93" s="76"/>
      <c r="C93" s="79"/>
      <c r="D93" s="79"/>
      <c r="E93" s="7"/>
      <c r="F93" s="7"/>
      <c r="G93" s="7"/>
      <c r="H93" s="7"/>
      <c r="I93" s="7"/>
      <c r="J93" s="69">
        <f>IF(ISERROR(J78-J42-J43-J44-J45-J46-J47-J48-J49-J50-J51-J52-J53-J54-J55-J56),0,J78-J42-J43-J44-J45-J46-J47-J48-J49-J50-J51-J52-J53-J54-J55-J56)</f>
        <v>0</v>
      </c>
      <c r="K93" s="69">
        <f>IF(ISERROR(K78-K42-K43-K44-K45-K46-K47-K48-K49-K50-K51-K52-K53-K54-K55-K56),0,K78-K42-K43-K44-K45-K46-K47-K48-K49-K50-K51-K52-K53-K54-K55-K56)</f>
        <v>0</v>
      </c>
      <c r="L93" s="69">
        <f>IF(ISERROR(L78-L42-L43-L44-L45-L46-L47-L48-L49-L50-L51-L52-L53-L54-L55-L56),0,L78-L42-L43-L44-L45-L46-L47-L48-L49-L50-L51-L52-L53-L54-L55-L56)</f>
        <v>0</v>
      </c>
      <c r="M93" s="69">
        <f>IF(ISERROR(M78-M42-M43-M44-M45-M46-M47-M48-M49-M50-M51-M52-M53-M54-M55-M56),0,M78-M42-M43-M44-M45-M46-M47-M48-M49-M50-M51-M52-M53-M54-M55-M56)</f>
        <v>0</v>
      </c>
      <c r="N93" s="69">
        <f t="shared" si="18"/>
        <v>0</v>
      </c>
      <c r="O93" s="135"/>
      <c r="P93" s="135"/>
      <c r="Q93" s="135"/>
      <c r="R93" s="135"/>
      <c r="S93" s="135"/>
      <c r="T93" s="135"/>
      <c r="U93" s="135"/>
      <c r="V93" s="135"/>
      <c r="X93" s="358"/>
      <c r="Y93" s="359"/>
      <c r="Z93" s="31"/>
      <c r="AA93" s="360"/>
      <c r="AB93" s="361"/>
    </row>
    <row r="94" spans="2:28" hidden="1">
      <c r="B94" s="76"/>
      <c r="C94" s="79"/>
      <c r="D94" s="79"/>
      <c r="E94" s="7"/>
      <c r="F94" s="7"/>
      <c r="G94" s="7"/>
      <c r="H94" s="7"/>
      <c r="I94" s="7"/>
      <c r="J94" s="69">
        <f>IF(ISERROR(J78-J42-J43-J44-J45-J46-J47-J48-J49-J50-J51-J52-J53-J54-J55-J56-J57),0,J78-J42-J43-J44-J45-J46-J47-J48-J49-J50-J51-J52-J53-J54-J55-J56-J57)</f>
        <v>0</v>
      </c>
      <c r="K94" s="69">
        <f>IF(ISERROR(K78-K42-K43-K44-K45-K46-K47-K48-K49-K50-K51-K52-K53-K54-K55-K56-K57),0,K78-K42-K43-K44-K45-K46-K47-K48-K49-K50-K51-K52-K53-K54-K55-K56-K57)</f>
        <v>0</v>
      </c>
      <c r="L94" s="69">
        <f>IF(ISERROR(L78-L42-L43-L44-L45-L46-L47-L48-L49-L50-L51-L52-L53-L54-L55-L56-L57),0,L78-L42-L43-L44-L45-L46-L47-L48-L49-L50-L51-L52-L53-L54-L55-L56-L57)</f>
        <v>0</v>
      </c>
      <c r="M94" s="69">
        <f>IF(ISERROR(M78-M42-M43-M44-M45-M46-M47-M48-M49-M50-M51-M52-M53-M54-M55-M56-M57),0,M78-M42-M43-M44-M45-M46-M47-M48-M49-M50-M51-M52-M53-M54-M55-M56-M57)</f>
        <v>0</v>
      </c>
      <c r="N94" s="69">
        <f t="shared" si="18"/>
        <v>0</v>
      </c>
      <c r="O94" s="135"/>
      <c r="P94" s="135"/>
      <c r="Q94" s="135"/>
      <c r="R94" s="135"/>
      <c r="S94" s="135"/>
      <c r="T94" s="135"/>
      <c r="U94" s="135"/>
      <c r="V94" s="135"/>
      <c r="X94" s="358"/>
      <c r="Y94" s="359"/>
      <c r="Z94" s="31"/>
      <c r="AA94" s="360"/>
      <c r="AB94" s="361"/>
    </row>
    <row r="95" spans="2:28" hidden="1">
      <c r="B95" s="76"/>
      <c r="C95" s="79"/>
      <c r="D95" s="79"/>
      <c r="E95" s="7"/>
      <c r="F95" s="7"/>
      <c r="G95" s="7"/>
      <c r="H95" s="7"/>
      <c r="I95" s="7"/>
      <c r="J95" s="69">
        <f>IF(ISERROR(J78-J42-J43-J44-J45-J46-J47-J48-J49-J50-J51-J52-J53-J54-J55-J56-J57-J58),0,J78-J42-J43-J44-J45-J46-J47-J48-J49-J50-J51-J52-J53-J54-J55-J56-J57-J58)</f>
        <v>0</v>
      </c>
      <c r="K95" s="69">
        <f>IF(ISERROR(K78-K42-K43-K44-K45-K46-K47-K48-K49-K50-K51-K52-K53-K54-K55-K56-K57-K58),0,K78-K42-K43-K44-K45-K46-K47-K48-K49-K50-K51-K52-K53-K54-K55-K56-K57-K58)</f>
        <v>0</v>
      </c>
      <c r="L95" s="69">
        <f>IF(ISERROR(L78-L42-L43-L44-L45-L46-L47-L48-L49-L50-L51-L52-L53-L54-L55-L56-L57-L58),0,L78-L42-L43-L44-L45-L46-L47-L48-L49-L50-L51-L52-L53-L54-L55-L56-L57-L58)</f>
        <v>0</v>
      </c>
      <c r="M95" s="69">
        <f>IF(ISERROR(M78-M42-M43-M44-M45-M46-M47-M48-M49-M50-M51-M52-M53-M54-M55-M56-M57-M58),0,M78-M42-M43-M44-M45-M46-M47-M48-M49-M50-M51-M52-M53-M54-M55-M56-M57-M58)</f>
        <v>0</v>
      </c>
      <c r="N95" s="69">
        <f t="shared" si="18"/>
        <v>0</v>
      </c>
      <c r="O95" s="135"/>
      <c r="P95" s="135"/>
      <c r="Q95" s="135"/>
      <c r="R95" s="135"/>
      <c r="S95" s="135"/>
      <c r="T95" s="135"/>
      <c r="U95" s="135"/>
      <c r="V95" s="135"/>
      <c r="X95" s="358"/>
      <c r="Y95" s="359"/>
      <c r="Z95" s="31"/>
      <c r="AA95" s="360"/>
      <c r="AB95" s="361"/>
    </row>
    <row r="96" spans="2:28" hidden="1">
      <c r="B96" s="76"/>
      <c r="C96" s="79"/>
      <c r="D96" s="79"/>
      <c r="E96" s="7"/>
      <c r="F96" s="7"/>
      <c r="G96" s="7"/>
      <c r="H96" s="7"/>
      <c r="I96" s="7"/>
      <c r="J96" s="69">
        <f>IF(ISERROR(J78-J42-J43-J44-J45-J46-J47-J48-J49-J50-J51-J52-J53-J54-J55-J56-J57-J58-J59),0,J78-J42-J43-J44-J45-J46-J47-J48-J49-J50-J51-J52-J53-J54-J55-J56-J57-J58-J59)</f>
        <v>0</v>
      </c>
      <c r="K96" s="69">
        <f>IF(ISERROR(K78-K42-K43-K44-K45-K46-K47-K48-K49-K50-K51-K52-K53-K54-K55-K56-K57-K58-K59),0,K78-K42-K43-K44-K45-K46-K47-K48-K49-K50-K51-K52-K53-K54-K55-K56-K57-K58-K59)</f>
        <v>0</v>
      </c>
      <c r="L96" s="69">
        <f>IF(ISERROR(L78-L42-L43-L44-L45-L46-L47-L48-L49-L50-L51-L52-L53-L54-L55-L56-L57-L58-L59),0,L78-L42-L43-L44-L45-L46-L47-L48-L49-L50-L51-L52-L53-L54-L55-L56-L57-L58-L59)</f>
        <v>0</v>
      </c>
      <c r="M96" s="69">
        <f>IF(ISERROR(M78-M42-M43-M44-M45-M46-M47-M48-M49-M50-M51-M52-M53-M54-M55-M56-M57-M58-M59),0,M78-M42-M43-M44-M45-M46-M47-M48-M49-M50-M51-M52-M53-M54-M55-M56-M57-M58-M59)</f>
        <v>0</v>
      </c>
      <c r="N96" s="69">
        <f t="shared" si="18"/>
        <v>0</v>
      </c>
      <c r="O96" s="135"/>
      <c r="P96" s="135"/>
      <c r="Q96" s="135"/>
      <c r="R96" s="135"/>
      <c r="S96" s="135"/>
      <c r="T96" s="135"/>
      <c r="U96" s="135"/>
      <c r="V96" s="135"/>
      <c r="X96" s="358"/>
      <c r="Y96" s="359"/>
      <c r="Z96" s="31"/>
      <c r="AA96" s="360"/>
      <c r="AB96" s="361"/>
    </row>
    <row r="97" spans="2:28" hidden="1">
      <c r="B97" s="76"/>
      <c r="C97" s="79"/>
      <c r="D97" s="79"/>
      <c r="E97" s="7"/>
      <c r="F97" s="7"/>
      <c r="G97" s="7"/>
      <c r="H97" s="7"/>
      <c r="I97" s="7"/>
      <c r="J97" s="69">
        <f>IF(ISERROR(J78-J42-J43-J44-J45-J46-J47-J48-J49-J50-J51-J52-J53-J54-J55-J56-J57-J58-J59-J60),0,J78-J42-J43-J44-J45-J46-J47-J48-J49-J50-J51-J52-J53-J54-J55-J56-J57-J58-J59-J60)</f>
        <v>0</v>
      </c>
      <c r="K97" s="69">
        <f>IF(ISERROR(K78-K42-K43-K44-K45-K46-K47-K48-K49-K50-K51-K52-K53-K54-K55-K56-K57-K58-K59-K60),0,K78-K42-K43-K44-K45-K46-K47-K48-K49-K50-K51-K52-K53-K54-K55-K56-K57-K58-K59-K60)</f>
        <v>0</v>
      </c>
      <c r="L97" s="69">
        <f>IF(ISERROR(L78-L42-L43-L44-L45-L46-L47-L48-L49-L50-L51-L52-L53-L54-L55-L56-L57-L58-L59-L60),0,L78-L42-L43-L44-L45-L46-L47-L48-L49-L50-L51-L52-L53-L54-L55-L56-L57-L58-L59-L60)</f>
        <v>0</v>
      </c>
      <c r="M97" s="69">
        <f>IF(ISERROR(M78-M42-M43-M44-M45-M46-M47-M48-M49-M50-M51-M52-M53-M54-M55-M56-M57-M58-M59-M60),0,M78-M42-M43-M44-M45-M46-M47-M48-M49-M50-M51-M52-M53-M54-M55-M56-M57-M58-M59-M60)</f>
        <v>0</v>
      </c>
      <c r="N97" s="69">
        <f t="shared" si="18"/>
        <v>0</v>
      </c>
      <c r="O97" s="135"/>
      <c r="P97" s="135"/>
      <c r="Q97" s="135"/>
      <c r="R97" s="135"/>
      <c r="S97" s="135"/>
      <c r="T97" s="135"/>
      <c r="U97" s="135"/>
      <c r="V97" s="135"/>
      <c r="X97" s="358"/>
      <c r="Y97" s="359"/>
      <c r="Z97" s="31"/>
      <c r="AA97" s="360"/>
      <c r="AB97" s="361"/>
    </row>
    <row r="98" spans="2:28" hidden="1">
      <c r="B98" s="62"/>
      <c r="C98" s="63"/>
      <c r="D98" s="63"/>
      <c r="E98" s="2"/>
      <c r="F98" s="2"/>
      <c r="G98" s="2"/>
      <c r="H98" s="2"/>
      <c r="I98" s="2"/>
      <c r="J98" s="69">
        <f>IF(ISERROR(J78-J42-J43-J44-J45-J46-J47-J48-J49-J50-J51-J52-J53-J54-J55-J56-J57-J58-J59-J60-J61),0,J78-J42-J43-J44-J45-J46-J47-J48-J49-J50-J51-J52-J53-J54-J55-J56-J57-J58-J59-J60-J61)</f>
        <v>0</v>
      </c>
      <c r="K98" s="69">
        <f>IF(ISERROR(K78-K42-K43-K44-K45-K46-K47-K48-K49-K50-K51-K52-K53-K54-K55-K56-K57-K58-K59-K60-K61),0,K78-K42-K43-K44-K45-K46-K47-K48-K49-K50-K51-K52-K53-K54-K55-K56-K57-K58-K59-K60-K61)</f>
        <v>0</v>
      </c>
      <c r="L98" s="69">
        <f>IF(ISERROR(L78-L42-L43-L44-L45-L46-L47-L48-L49-L50-L51-L52-L53-L54-L55-L56-L57-L58-L59-L60-L61),0,L78-L42-L43-L44-L45-L46-L47-L48-L49-L50-L51-L52-L53-L54-L55-L56-L57-L58-L59-L60-L61)</f>
        <v>0</v>
      </c>
      <c r="M98" s="69">
        <f>IF(ISERROR(M78-M42-M43-M44-M45-M46-M47-M48-M49-M50-M51-M52-M53-M54-M55-M56-M57-M58-M59-M60-M61),0,M78-M42-M43-M44-M45-M46-M47-M48-M49-M50-M51-M52-M53-M54-M55-M56-M57-M58-M59-M60-M61)</f>
        <v>0</v>
      </c>
      <c r="N98" s="69">
        <f t="shared" si="18"/>
        <v>0</v>
      </c>
      <c r="O98" s="135"/>
      <c r="P98" s="135"/>
      <c r="Q98" s="135"/>
      <c r="R98" s="135"/>
      <c r="S98" s="135"/>
      <c r="T98" s="135"/>
      <c r="U98" s="135"/>
      <c r="V98" s="135"/>
      <c r="X98" s="81"/>
      <c r="Y98" s="82"/>
      <c r="Z98" s="82"/>
      <c r="AA98" s="82"/>
      <c r="AB98" s="83"/>
    </row>
    <row r="99" spans="2:28" hidden="1"/>
  </sheetData>
  <sheetProtection password="C7E2" sheet="1" objects="1" scenarios="1"/>
  <mergeCells count="50">
    <mergeCell ref="AN18:AN21"/>
    <mergeCell ref="AF23:AN23"/>
    <mergeCell ref="AF24:AN24"/>
    <mergeCell ref="AF25:AN25"/>
    <mergeCell ref="AF18:AG21"/>
    <mergeCell ref="AH18:AJ21"/>
    <mergeCell ref="AK18:AK21"/>
    <mergeCell ref="AL18:AL21"/>
    <mergeCell ref="AM18:AM21"/>
    <mergeCell ref="AN12:AN14"/>
    <mergeCell ref="AF15:AG17"/>
    <mergeCell ref="AH15:AJ17"/>
    <mergeCell ref="AK15:AK17"/>
    <mergeCell ref="AL15:AL17"/>
    <mergeCell ref="AM15:AM17"/>
    <mergeCell ref="AN15:AN17"/>
    <mergeCell ref="AF12:AG14"/>
    <mergeCell ref="AH12:AJ14"/>
    <mergeCell ref="AK12:AK14"/>
    <mergeCell ref="AL12:AL14"/>
    <mergeCell ref="AM12:AM14"/>
    <mergeCell ref="AN4:AN8"/>
    <mergeCell ref="AF9:AG11"/>
    <mergeCell ref="AH9:AJ11"/>
    <mergeCell ref="AK9:AK11"/>
    <mergeCell ref="AL9:AL11"/>
    <mergeCell ref="AM9:AM11"/>
    <mergeCell ref="AN9:AN11"/>
    <mergeCell ref="AF4:AG8"/>
    <mergeCell ref="AH4:AJ8"/>
    <mergeCell ref="AK4:AK8"/>
    <mergeCell ref="AL4:AL8"/>
    <mergeCell ref="AM4:AM8"/>
    <mergeCell ref="AF1:AN1"/>
    <mergeCell ref="AF2:AG3"/>
    <mergeCell ref="AH2:AJ3"/>
    <mergeCell ref="AK2:AK3"/>
    <mergeCell ref="AL2:AL3"/>
    <mergeCell ref="AM2:AM3"/>
    <mergeCell ref="AN2:AN3"/>
    <mergeCell ref="Z21:AB21"/>
    <mergeCell ref="X21:Y21"/>
    <mergeCell ref="D9:G10"/>
    <mergeCell ref="D11:G12"/>
    <mergeCell ref="D7:E8"/>
    <mergeCell ref="A65:N67"/>
    <mergeCell ref="D20:F21"/>
    <mergeCell ref="R65:T65"/>
    <mergeCell ref="R66:T67"/>
    <mergeCell ref="D2:L2"/>
  </mergeCells>
  <phoneticPr fontId="0" type="noConversion"/>
  <conditionalFormatting sqref="N21">
    <cfRule type="cellIs" dxfId="0" priority="1" stopIfTrue="1" operator="equal">
      <formula>"Yes"</formula>
    </cfRule>
  </conditionalFormatting>
  <dataValidations count="8">
    <dataValidation type="whole" allowBlank="1" showInputMessage="1" showErrorMessage="1" errorTitle="Scale Validation" error="You must enter a valid scale, between zero and nine." sqref="E31">
      <formula1>0</formula1>
      <formula2>9</formula2>
    </dataValidation>
    <dataValidation type="whole" allowBlank="1" showInputMessage="1" showErrorMessage="1" errorTitle="Assistant error" error="You must enter a valid step level for Asst. Prof, between 1 and 6." sqref="E33">
      <formula1>1</formula1>
      <formula2>6</formula2>
    </dataValidation>
    <dataValidation type="whole" allowBlank="1" showInputMessage="1" showErrorMessage="1" errorTitle="Assoc Error" error="You must enter a valid step level for Assoc Prof, between 1 and 5." sqref="E34">
      <formula1>1</formula1>
      <formula2>5</formula2>
    </dataValidation>
    <dataValidation type="decimal" allowBlank="1" showInputMessage="1" showErrorMessage="1" errorTitle="Percent Error" error="You must enter a decimal number between 0 and 1, such as .60 to denote 60% time." sqref="E30">
      <formula1>0</formula1>
      <formula2>1</formula2>
    </dataValidation>
    <dataValidation type="decimal" allowBlank="1" showInputMessage="1" showErrorMessage="1" errorTitle="Target Percent" error="You must enter a valid percentage." sqref="F42:F61">
      <formula1>0</formula1>
      <formula2>1</formula2>
    </dataValidation>
    <dataValidation allowBlank="1" showInputMessage="1" showErrorMessage="1" errorTitle="Scale Validation" error="You must enter the letter &quot;x&quot; to calculate for Instructor." sqref="E32"/>
    <dataValidation type="whole" operator="greaterThanOrEqual" allowBlank="1" showInputMessage="1" showErrorMessage="1" errorTitle="Prof base" error="You must enter an approved above scale base in order to use the above scale calcution sheet.  If approved base is equal to or below $148,900, use regular or offscale calculation sheet." sqref="E35">
      <formula1>148900</formula1>
    </dataValidation>
    <dataValidation type="whole" allowBlank="1" showInputMessage="1" showErrorMessage="1" error="Please enter a number between 9 and 20 to denote the appropriate salary cap." sqref="A42:A61">
      <formula1>9</formula1>
      <formula2>21</formula2>
    </dataValidation>
  </dataValidations>
  <hyperlinks>
    <hyperlink ref="F25" location="GenlInstr!D9" display="GenlInstr!D9"/>
    <hyperlink ref="A38" location="GenlInstr!B11" display="GenlInstr!B11"/>
    <hyperlink ref="A63" location="GenlInstr!F11" display="GenlInstr!F11"/>
    <hyperlink ref="F32" location="GenlInstr!F10" display="GenlInstr!F10"/>
    <hyperlink ref="F8" location="GenlInstr!B9" display="GenlInstr!B9"/>
    <hyperlink ref="AF23" r:id="rId1"/>
    <hyperlink ref="AG23" r:id="rId2" display="http://report.nih.gov/FileLink.aspx?rid=824"/>
    <hyperlink ref="AH23" r:id="rId3" display="http://report.nih.gov/FileLink.aspx?rid=824"/>
    <hyperlink ref="AI23" r:id="rId4" display="http://report.nih.gov/FileLink.aspx?rid=824"/>
    <hyperlink ref="AJ23" r:id="rId5" display="http://report.nih.gov/FileLink.aspx?rid=824"/>
    <hyperlink ref="AK23" r:id="rId6" display="http://report.nih.gov/FileLink.aspx?rid=824"/>
    <hyperlink ref="AF24" r:id="rId7"/>
    <hyperlink ref="AK26" r:id="rId8"/>
    <hyperlink ref="AM26" r:id="rId9"/>
  </hyperlinks>
  <pageMargins left="0.2" right="0.2" top="0.25" bottom="0.25" header="0.33" footer="0.5"/>
  <pageSetup scale="69" orientation="landscape" horizontalDpi="4294967292" verticalDpi="200"/>
  <headerFooter>
    <oddFooter>&amp;L&amp;8Printed:  &amp;D @ &amp;T</oddFooter>
  </headerFooter>
  <drawing r:id="rId10"/>
  <legacyDrawing r:id="rId1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dimension ref="A1:K39"/>
  <sheetViews>
    <sheetView workbookViewId="0">
      <selection activeCell="F9" sqref="F9"/>
    </sheetView>
  </sheetViews>
  <sheetFormatPr baseColWidth="10" defaultColWidth="8.83203125" defaultRowHeight="12" x14ac:dyDescent="0"/>
  <cols>
    <col min="1" max="1" width="5.6640625" customWidth="1"/>
    <col min="2" max="2" width="38.6640625" customWidth="1"/>
    <col min="3" max="3" width="5.6640625" customWidth="1"/>
    <col min="4" max="4" width="38.6640625" customWidth="1"/>
    <col min="5" max="5" width="5.6640625" customWidth="1"/>
    <col min="6" max="6" width="38.6640625" customWidth="1"/>
  </cols>
  <sheetData>
    <row r="1" spans="1:11" ht="50" customHeight="1">
      <c r="A1" s="660" t="s">
        <v>40</v>
      </c>
      <c r="B1" s="660"/>
      <c r="C1" s="660"/>
      <c r="D1" s="660"/>
      <c r="E1" s="660"/>
      <c r="F1" s="660"/>
      <c r="G1" s="660"/>
      <c r="H1" s="260"/>
      <c r="I1" s="260"/>
      <c r="J1" s="260"/>
      <c r="K1" s="260"/>
    </row>
    <row r="2" spans="1:11" ht="45" customHeight="1">
      <c r="A2" s="290"/>
      <c r="B2" s="290"/>
      <c r="C2" s="290"/>
      <c r="D2" s="290"/>
      <c r="E2" s="290"/>
      <c r="F2" s="290"/>
      <c r="G2" s="290"/>
      <c r="H2" s="260"/>
      <c r="I2" s="260"/>
      <c r="J2" s="260"/>
      <c r="K2" s="260"/>
    </row>
    <row r="3" spans="1:11" s="35" customFormat="1" ht="30" customHeight="1">
      <c r="A3" s="290"/>
      <c r="B3" s="290"/>
      <c r="C3" s="290"/>
      <c r="D3" s="290"/>
      <c r="E3" s="290"/>
      <c r="F3" s="290"/>
      <c r="G3" s="290"/>
      <c r="H3" s="291"/>
      <c r="I3" s="291"/>
      <c r="J3" s="291"/>
      <c r="K3" s="291"/>
    </row>
    <row r="4" spans="1:11" s="295" customFormat="1" ht="120" customHeight="1">
      <c r="A4" s="292"/>
      <c r="B4" s="292" t="s">
        <v>92</v>
      </c>
      <c r="C4" s="292"/>
      <c r="D4" s="292" t="s">
        <v>97</v>
      </c>
      <c r="E4" s="293"/>
      <c r="F4" s="292" t="s">
        <v>90</v>
      </c>
      <c r="G4" s="293"/>
      <c r="H4" s="294"/>
      <c r="I4" s="294"/>
      <c r="J4" s="294"/>
      <c r="K4" s="294"/>
    </row>
    <row r="5" spans="1:11" ht="2" customHeight="1">
      <c r="A5" s="296"/>
      <c r="B5" s="665"/>
      <c r="C5" s="660"/>
      <c r="D5" s="660"/>
      <c r="E5" s="660"/>
      <c r="F5" s="660"/>
      <c r="G5" s="297"/>
      <c r="H5" s="259"/>
      <c r="I5" s="259"/>
      <c r="J5" s="259"/>
      <c r="K5" s="259"/>
    </row>
    <row r="6" spans="1:11" ht="12" customHeight="1">
      <c r="A6" s="296"/>
      <c r="B6" s="289"/>
      <c r="C6" s="290"/>
      <c r="D6" s="290"/>
      <c r="E6" s="290"/>
      <c r="F6" s="663"/>
      <c r="G6" s="297"/>
      <c r="H6" s="259"/>
      <c r="I6" s="259"/>
      <c r="J6" s="259"/>
      <c r="K6" s="259"/>
    </row>
    <row r="7" spans="1:11" ht="14" customHeight="1">
      <c r="A7" s="661"/>
      <c r="B7" s="662"/>
      <c r="C7" s="298"/>
      <c r="D7" s="298"/>
      <c r="E7" s="298"/>
      <c r="F7" s="664"/>
      <c r="G7" s="299"/>
      <c r="H7" s="259"/>
      <c r="I7" s="259"/>
      <c r="J7" s="259"/>
      <c r="K7" s="259"/>
    </row>
    <row r="8" spans="1:11" ht="9.75" customHeight="1">
      <c r="A8" s="300"/>
      <c r="B8" s="301"/>
      <c r="C8" s="302"/>
      <c r="D8" s="271"/>
      <c r="E8" s="303"/>
      <c r="F8" s="271"/>
      <c r="G8" s="304"/>
      <c r="H8" s="259"/>
      <c r="I8" s="259"/>
      <c r="J8" s="259"/>
      <c r="K8" s="259"/>
    </row>
    <row r="9" spans="1:11" s="310" customFormat="1" ht="170" customHeight="1">
      <c r="A9" s="305">
        <v>1</v>
      </c>
      <c r="B9" s="343" t="s">
        <v>114</v>
      </c>
      <c r="C9" s="307">
        <v>2</v>
      </c>
      <c r="D9" s="306" t="s">
        <v>91</v>
      </c>
      <c r="E9" s="307">
        <v>3</v>
      </c>
      <c r="F9" s="374" t="s">
        <v>128</v>
      </c>
      <c r="G9" s="308"/>
      <c r="H9" s="309"/>
      <c r="I9" s="309"/>
      <c r="J9" s="309"/>
      <c r="K9" s="309"/>
    </row>
    <row r="10" spans="1:11" s="310" customFormat="1" ht="159.75" customHeight="1">
      <c r="A10" s="272">
        <v>4</v>
      </c>
      <c r="B10" s="311" t="s">
        <v>82</v>
      </c>
      <c r="C10" s="272">
        <v>5</v>
      </c>
      <c r="D10" s="385" t="s">
        <v>120</v>
      </c>
      <c r="E10" s="272">
        <v>6</v>
      </c>
      <c r="F10" s="475" t="s">
        <v>144</v>
      </c>
      <c r="G10" s="273"/>
      <c r="H10" s="312"/>
      <c r="I10" s="312"/>
      <c r="J10" s="312"/>
      <c r="K10" s="312"/>
    </row>
    <row r="11" spans="1:11" ht="264.75" customHeight="1" thickBot="1">
      <c r="A11" s="270">
        <v>7</v>
      </c>
      <c r="B11" s="379" t="s">
        <v>145</v>
      </c>
      <c r="C11" s="313">
        <v>8</v>
      </c>
      <c r="D11" s="476" t="s">
        <v>146</v>
      </c>
      <c r="E11" s="313">
        <v>9</v>
      </c>
      <c r="F11" s="334" t="s">
        <v>103</v>
      </c>
      <c r="G11" s="314"/>
      <c r="H11" s="261"/>
      <c r="I11" s="261"/>
      <c r="J11" s="261"/>
      <c r="K11" s="261"/>
    </row>
    <row r="12" spans="1:11" ht="51" thickTop="1">
      <c r="A12" s="267"/>
      <c r="B12" s="274" t="s">
        <v>150</v>
      </c>
      <c r="C12" s="315"/>
      <c r="D12" s="268"/>
      <c r="E12" s="267"/>
      <c r="F12" s="267"/>
      <c r="G12" s="267"/>
    </row>
    <row r="13" spans="1:11" ht="9.75" customHeight="1">
      <c r="A13" s="267"/>
      <c r="B13" s="274"/>
      <c r="C13" s="315"/>
      <c r="D13" s="268"/>
      <c r="E13" s="267"/>
      <c r="F13" s="267"/>
      <c r="G13" s="267"/>
    </row>
    <row r="14" spans="1:11" ht="40">
      <c r="A14" s="267"/>
      <c r="B14" s="274" t="s">
        <v>101</v>
      </c>
      <c r="C14" s="316"/>
      <c r="D14" s="658"/>
      <c r="E14" s="658"/>
      <c r="F14" s="658"/>
      <c r="G14" s="269"/>
    </row>
    <row r="15" spans="1:11" ht="9.75" customHeight="1">
      <c r="A15" s="267"/>
      <c r="B15" s="274"/>
      <c r="C15" s="316"/>
      <c r="D15" s="658"/>
      <c r="E15" s="658"/>
      <c r="F15" s="658"/>
      <c r="G15" s="269"/>
    </row>
    <row r="16" spans="1:11" ht="40">
      <c r="A16" s="267"/>
      <c r="B16" s="274" t="s">
        <v>102</v>
      </c>
      <c r="C16" s="315"/>
      <c r="D16" s="655"/>
      <c r="E16" s="655"/>
      <c r="F16" s="655"/>
      <c r="G16" s="268"/>
    </row>
    <row r="17" spans="1:7" ht="9.75" customHeight="1">
      <c r="A17" s="267"/>
      <c r="B17" s="274"/>
      <c r="C17" s="315"/>
      <c r="D17" s="331"/>
      <c r="E17" s="331"/>
      <c r="F17" s="331"/>
      <c r="G17" s="268"/>
    </row>
    <row r="18" spans="1:7" ht="40">
      <c r="A18" s="345"/>
      <c r="B18" s="346" t="s">
        <v>98</v>
      </c>
      <c r="C18" s="275"/>
      <c r="D18" s="655"/>
      <c r="E18" s="655"/>
      <c r="F18" s="655"/>
      <c r="G18" s="267"/>
    </row>
    <row r="19" spans="1:7" ht="44.25" customHeight="1">
      <c r="A19" s="267"/>
      <c r="B19" s="344"/>
      <c r="C19" s="293"/>
      <c r="D19" s="655"/>
      <c r="E19" s="655"/>
      <c r="F19" s="655"/>
      <c r="G19" s="267"/>
    </row>
    <row r="20" spans="1:7" ht="19.5" customHeight="1">
      <c r="A20" s="470" t="s">
        <v>138</v>
      </c>
      <c r="B20" s="344"/>
      <c r="C20" s="293"/>
      <c r="D20" s="331"/>
      <c r="E20" s="331"/>
      <c r="F20" s="331"/>
      <c r="G20" s="267"/>
    </row>
    <row r="21" spans="1:7" ht="63" customHeight="1">
      <c r="A21" s="659" t="s">
        <v>137</v>
      </c>
      <c r="B21" s="659"/>
      <c r="C21" s="659"/>
      <c r="D21" s="659"/>
      <c r="E21" s="659"/>
      <c r="F21" s="331"/>
      <c r="G21" s="267"/>
    </row>
    <row r="22" spans="1:7" ht="38.25" customHeight="1">
      <c r="A22" s="267"/>
      <c r="B22" s="344"/>
      <c r="C22" s="293"/>
      <c r="D22" s="331"/>
      <c r="E22" s="331"/>
      <c r="F22" s="269"/>
      <c r="G22" s="269"/>
    </row>
    <row r="23" spans="1:7" ht="36.75" customHeight="1">
      <c r="A23" s="658" t="s">
        <v>149</v>
      </c>
      <c r="B23" s="658"/>
      <c r="C23" s="658"/>
      <c r="D23" s="658"/>
      <c r="E23" s="658"/>
      <c r="F23" s="269"/>
      <c r="G23" s="269"/>
    </row>
    <row r="24" spans="1:7" ht="35.25" customHeight="1">
      <c r="A24" s="658" t="s">
        <v>108</v>
      </c>
      <c r="B24" s="658"/>
      <c r="C24" s="658"/>
      <c r="D24" s="658"/>
      <c r="E24" s="658"/>
      <c r="F24" s="267"/>
      <c r="G24" s="267"/>
    </row>
    <row r="25" spans="1:7" ht="54.75" customHeight="1">
      <c r="A25" s="655" t="s">
        <v>112</v>
      </c>
      <c r="B25" s="655"/>
      <c r="C25" s="655"/>
      <c r="D25" s="655"/>
      <c r="E25" s="655"/>
      <c r="F25" s="331"/>
      <c r="G25" s="331"/>
    </row>
    <row r="26" spans="1:7" ht="45" customHeight="1">
      <c r="A26" s="655" t="s">
        <v>109</v>
      </c>
      <c r="B26" s="655"/>
      <c r="C26" s="655"/>
      <c r="D26" s="655"/>
      <c r="E26" s="655"/>
      <c r="F26" s="267"/>
      <c r="G26" s="267"/>
    </row>
    <row r="27" spans="1:7" ht="30" customHeight="1">
      <c r="A27" s="655" t="s">
        <v>110</v>
      </c>
      <c r="B27" s="655"/>
      <c r="C27" s="655"/>
      <c r="D27" s="655"/>
      <c r="E27" s="655"/>
      <c r="F27" s="267"/>
      <c r="G27" s="267"/>
    </row>
    <row r="28" spans="1:7" ht="23.25" customHeight="1">
      <c r="A28" s="656" t="s">
        <v>111</v>
      </c>
      <c r="B28" s="656"/>
      <c r="C28" s="656"/>
      <c r="D28" s="656"/>
      <c r="E28" s="656"/>
      <c r="F28" s="267"/>
      <c r="G28" s="267"/>
    </row>
    <row r="29" spans="1:7" ht="31.5" customHeight="1">
      <c r="A29" s="657" t="s">
        <v>93</v>
      </c>
      <c r="B29" s="657"/>
      <c r="C29" s="657"/>
      <c r="D29" s="657"/>
      <c r="E29" s="657"/>
      <c r="F29" s="267"/>
      <c r="G29" s="267"/>
    </row>
    <row r="30" spans="1:7" ht="55.5" hidden="1" customHeight="1">
      <c r="A30" s="267"/>
      <c r="B30" s="267"/>
      <c r="C30" s="267"/>
      <c r="D30" s="267"/>
      <c r="E30" s="267"/>
      <c r="F30" s="267"/>
      <c r="G30" s="267"/>
    </row>
    <row r="31" spans="1:7" ht="55.5" hidden="1" customHeight="1">
      <c r="A31" s="655" t="s">
        <v>115</v>
      </c>
      <c r="B31" s="543"/>
      <c r="C31" s="543"/>
      <c r="D31" s="543"/>
      <c r="E31" s="543"/>
      <c r="F31" s="267"/>
      <c r="G31" s="267"/>
    </row>
    <row r="32" spans="1:7" ht="55.5" hidden="1" customHeight="1">
      <c r="A32" s="655" t="s">
        <v>116</v>
      </c>
      <c r="B32" s="655"/>
      <c r="C32" s="655"/>
      <c r="D32" s="655"/>
      <c r="E32" s="655"/>
      <c r="F32" s="267"/>
      <c r="G32" s="267"/>
    </row>
    <row r="33" spans="1:7" ht="55.5" customHeight="1">
      <c r="A33" s="267"/>
      <c r="B33" s="267"/>
      <c r="C33" s="267"/>
      <c r="D33" s="267"/>
      <c r="E33" s="267"/>
      <c r="F33" s="267"/>
      <c r="G33" s="267"/>
    </row>
    <row r="34" spans="1:7" s="327" customFormat="1" ht="55.5" customHeight="1"/>
    <row r="35" spans="1:7" s="327" customFormat="1" ht="55.5" customHeight="1"/>
    <row r="36" spans="1:7" s="327" customFormat="1" ht="55.5" customHeight="1"/>
    <row r="37" spans="1:7" s="327" customFormat="1" ht="55.5" customHeight="1"/>
    <row r="38" spans="1:7" s="327" customFormat="1" ht="55.5" customHeight="1"/>
    <row r="39" spans="1:7" s="327" customFormat="1"/>
  </sheetData>
  <mergeCells count="19">
    <mergeCell ref="A1:G1"/>
    <mergeCell ref="A7:B7"/>
    <mergeCell ref="F6:F7"/>
    <mergeCell ref="D19:F19"/>
    <mergeCell ref="D18:F18"/>
    <mergeCell ref="D16:F16"/>
    <mergeCell ref="D14:F14"/>
    <mergeCell ref="D15:F15"/>
    <mergeCell ref="B5:F5"/>
    <mergeCell ref="A32:E32"/>
    <mergeCell ref="A28:E28"/>
    <mergeCell ref="A29:E29"/>
    <mergeCell ref="A23:E23"/>
    <mergeCell ref="A21:E21"/>
    <mergeCell ref="A27:E27"/>
    <mergeCell ref="A26:E26"/>
    <mergeCell ref="A25:E25"/>
    <mergeCell ref="A24:E24"/>
    <mergeCell ref="A31:E31"/>
  </mergeCells>
  <phoneticPr fontId="0" type="noConversion"/>
  <hyperlinks>
    <hyperlink ref="B10" location="OnScaleCalc!D17" display="OnScaleCalc!D17"/>
    <hyperlink ref="B9" location="OnScaleCalc!D5" display="OnScaleCalc!D5"/>
    <hyperlink ref="D9" location="OnScaleCalc!D12" display="OnScaleCalc!D12"/>
    <hyperlink ref="F9" location="OnScaleCalc!k4" display="OnScaleCalc!k4"/>
    <hyperlink ref="D11" location="OnScaleCalc!O25" display="OnScaleCalc!O25"/>
    <hyperlink ref="F11" location="OnScaleCalc!A40" display="OnScaleCalc!A40"/>
    <hyperlink ref="F10" location="OnScaleCalc!D19" display="OnScaleCalc!D19"/>
    <hyperlink ref="B11" location="OnScaleCalc!A25" display="OnScaleCalc!A25"/>
    <hyperlink ref="D10" location="OnScaleCalc!D18" display="OnScaleCalc!D18"/>
  </hyperlinks>
  <pageMargins left="0.75" right="0.75" top="0.5" bottom="1" header="0.5" footer="0.5"/>
  <pageSetup scale="85" orientation="landscape"/>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dimension ref="A1:G23"/>
  <sheetViews>
    <sheetView workbookViewId="0">
      <selection activeCell="B7" sqref="B7:F9"/>
    </sheetView>
  </sheetViews>
  <sheetFormatPr baseColWidth="10" defaultColWidth="8.83203125" defaultRowHeight="12" x14ac:dyDescent="0"/>
  <cols>
    <col min="1" max="1" width="5.6640625" customWidth="1"/>
    <col min="2" max="2" width="38.6640625" customWidth="1"/>
    <col min="3" max="3" width="5.6640625" customWidth="1"/>
    <col min="4" max="4" width="38.6640625" customWidth="1"/>
    <col min="5" max="5" width="5.6640625" customWidth="1"/>
    <col min="6" max="6" width="38.6640625" customWidth="1"/>
  </cols>
  <sheetData>
    <row r="1" spans="1:7" ht="54.75" customHeight="1">
      <c r="A1" s="666"/>
      <c r="B1" s="666"/>
      <c r="C1" s="666"/>
      <c r="D1" s="666"/>
      <c r="E1" s="666"/>
      <c r="F1" s="666"/>
      <c r="G1" s="666"/>
    </row>
    <row r="2" spans="1:7" ht="53.25" customHeight="1">
      <c r="A2" s="317"/>
      <c r="B2" s="660"/>
      <c r="C2" s="660"/>
      <c r="D2" s="660"/>
      <c r="E2" s="660"/>
      <c r="F2" s="660"/>
      <c r="G2" s="290"/>
    </row>
    <row r="3" spans="1:7" ht="72.75" customHeight="1">
      <c r="A3" s="318"/>
      <c r="B3" s="669" t="s">
        <v>147</v>
      </c>
      <c r="C3" s="669"/>
      <c r="D3" s="669"/>
      <c r="E3" s="669"/>
      <c r="F3" s="669"/>
      <c r="G3" s="321"/>
    </row>
    <row r="4" spans="1:7" ht="39.75" customHeight="1">
      <c r="A4" s="318"/>
      <c r="B4" s="319"/>
      <c r="C4" s="320"/>
      <c r="D4" s="320"/>
      <c r="E4" s="320"/>
      <c r="F4" s="320"/>
      <c r="G4" s="321"/>
    </row>
    <row r="5" spans="1:7" ht="30" customHeight="1">
      <c r="A5" s="318"/>
      <c r="B5" s="672"/>
      <c r="C5" s="673"/>
      <c r="D5" s="673"/>
      <c r="E5" s="673"/>
      <c r="F5" s="673"/>
      <c r="G5" s="321"/>
    </row>
    <row r="6" spans="1:7" ht="12" customHeight="1">
      <c r="A6" s="667"/>
      <c r="B6" s="668"/>
      <c r="C6" s="668"/>
      <c r="D6" s="668"/>
      <c r="E6" s="668"/>
      <c r="F6" s="668"/>
      <c r="G6" s="668"/>
    </row>
    <row r="7" spans="1:7" ht="24.75" customHeight="1">
      <c r="A7" s="322" t="s">
        <v>40</v>
      </c>
      <c r="B7" s="670" t="s">
        <v>99</v>
      </c>
      <c r="C7" s="670"/>
      <c r="D7" s="670"/>
      <c r="E7" s="670"/>
      <c r="F7" s="670"/>
      <c r="G7" s="268"/>
    </row>
    <row r="8" spans="1:7" ht="24.75" customHeight="1">
      <c r="A8" s="290"/>
      <c r="B8" s="670"/>
      <c r="C8" s="670"/>
      <c r="D8" s="670"/>
      <c r="E8" s="670"/>
      <c r="F8" s="670"/>
      <c r="G8" s="268"/>
    </row>
    <row r="9" spans="1:7" ht="24.75" customHeight="1">
      <c r="A9" s="323"/>
      <c r="B9" s="671"/>
      <c r="C9" s="671"/>
      <c r="D9" s="671"/>
      <c r="E9" s="671"/>
      <c r="F9" s="671"/>
      <c r="G9" s="324"/>
    </row>
    <row r="10" spans="1:7" ht="24.75" customHeight="1">
      <c r="A10" s="325"/>
      <c r="B10" s="658" t="s">
        <v>96</v>
      </c>
      <c r="C10" s="674"/>
      <c r="D10" s="674"/>
      <c r="E10" s="674"/>
      <c r="F10" s="674"/>
      <c r="G10" s="290"/>
    </row>
    <row r="11" spans="1:7" ht="16.5" customHeight="1">
      <c r="A11" s="326"/>
      <c r="B11" s="673"/>
      <c r="C11" s="673"/>
      <c r="D11" s="673"/>
      <c r="E11" s="673"/>
      <c r="F11" s="673"/>
      <c r="G11" s="267"/>
    </row>
    <row r="12" spans="1:7" ht="24.75" customHeight="1">
      <c r="A12" s="270"/>
      <c r="B12" s="675" t="s">
        <v>106</v>
      </c>
      <c r="C12" s="673"/>
      <c r="D12" s="673"/>
      <c r="E12" s="673"/>
      <c r="F12" s="673"/>
      <c r="G12" s="267"/>
    </row>
    <row r="13" spans="1:7" ht="12" customHeight="1">
      <c r="A13" s="267"/>
      <c r="B13" s="296"/>
      <c r="C13" s="296"/>
      <c r="D13" s="296"/>
      <c r="E13" s="296"/>
      <c r="F13" s="296"/>
      <c r="G13" s="296"/>
    </row>
    <row r="14" spans="1:7" ht="24.75" customHeight="1">
      <c r="A14" s="267" t="s">
        <v>40</v>
      </c>
      <c r="B14" s="676" t="s">
        <v>107</v>
      </c>
      <c r="C14" s="670"/>
      <c r="D14" s="670"/>
      <c r="E14" s="670"/>
      <c r="F14" s="670"/>
      <c r="G14" s="296"/>
    </row>
    <row r="15" spans="1:7">
      <c r="A15" s="267"/>
      <c r="B15" s="673"/>
      <c r="C15" s="673"/>
      <c r="D15" s="673"/>
      <c r="E15" s="673"/>
      <c r="F15" s="673"/>
      <c r="G15" s="296"/>
    </row>
    <row r="16" spans="1:7">
      <c r="A16" s="267" t="s">
        <v>40</v>
      </c>
      <c r="B16" s="296" t="s">
        <v>40</v>
      </c>
      <c r="C16" s="296"/>
      <c r="D16" s="296"/>
      <c r="E16" s="296"/>
      <c r="F16" s="296"/>
      <c r="G16" s="296"/>
    </row>
    <row r="17" spans="1:7" s="327" customFormat="1" ht="24.75" customHeight="1">
      <c r="A17" s="267"/>
      <c r="B17" s="655" t="s">
        <v>100</v>
      </c>
      <c r="C17" s="655"/>
      <c r="D17" s="655"/>
      <c r="E17" s="655"/>
      <c r="F17" s="655"/>
      <c r="G17" s="267"/>
    </row>
    <row r="18" spans="1:7">
      <c r="A18" s="267"/>
      <c r="B18" s="267"/>
      <c r="C18" s="267"/>
      <c r="D18" s="267"/>
      <c r="E18" s="267"/>
      <c r="F18" s="267"/>
      <c r="G18" s="267"/>
    </row>
    <row r="19" spans="1:7" ht="24.75" customHeight="1">
      <c r="A19" s="267"/>
      <c r="B19" s="655" t="s">
        <v>94</v>
      </c>
      <c r="C19" s="655"/>
      <c r="D19" s="655"/>
      <c r="E19" s="655"/>
      <c r="F19" s="655"/>
      <c r="G19" s="267"/>
    </row>
    <row r="20" spans="1:7">
      <c r="A20" s="296"/>
      <c r="B20" s="296"/>
      <c r="C20" s="296"/>
      <c r="D20" s="296"/>
      <c r="E20" s="296"/>
      <c r="F20" s="296"/>
      <c r="G20" s="296"/>
    </row>
    <row r="21" spans="1:7">
      <c r="A21" s="296"/>
      <c r="B21" s="296"/>
      <c r="C21" s="296"/>
      <c r="D21" s="296"/>
      <c r="E21" s="296"/>
      <c r="F21" s="296"/>
      <c r="G21" s="296"/>
    </row>
    <row r="22" spans="1:7">
      <c r="A22" s="296"/>
      <c r="B22" s="296"/>
      <c r="C22" s="296"/>
      <c r="D22" s="296"/>
      <c r="E22" s="296"/>
      <c r="F22" s="296"/>
      <c r="G22" s="296"/>
    </row>
    <row r="23" spans="1:7">
      <c r="A23" s="296"/>
      <c r="B23" s="296"/>
      <c r="C23" s="296"/>
      <c r="D23" s="296"/>
      <c r="E23" s="296"/>
      <c r="F23" s="296"/>
      <c r="G23" s="296"/>
    </row>
  </sheetData>
  <mergeCells count="11">
    <mergeCell ref="B17:F17"/>
    <mergeCell ref="B19:F19"/>
    <mergeCell ref="B10:F11"/>
    <mergeCell ref="B12:F12"/>
    <mergeCell ref="B14:F15"/>
    <mergeCell ref="A1:G1"/>
    <mergeCell ref="A6:G6"/>
    <mergeCell ref="B3:F3"/>
    <mergeCell ref="B7:F9"/>
    <mergeCell ref="B2:F2"/>
    <mergeCell ref="B5:F5"/>
  </mergeCells>
  <phoneticPr fontId="0" type="noConversion"/>
  <hyperlinks>
    <hyperlink ref="B3:F3" location="OffScaleCalc!E5" display="OffScaleCalc!E5"/>
  </hyperlinks>
  <pageMargins left="0.75" right="0.75" top="1" bottom="1" header="0.5" footer="0.5"/>
  <pageSetup scale="85" orientation="landscape"/>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dimension ref="A1:G25"/>
  <sheetViews>
    <sheetView workbookViewId="0">
      <selection activeCell="D7" sqref="B7:F9"/>
    </sheetView>
  </sheetViews>
  <sheetFormatPr baseColWidth="10" defaultColWidth="8.83203125" defaultRowHeight="12" x14ac:dyDescent="0"/>
  <cols>
    <col min="1" max="1" width="5.6640625" customWidth="1"/>
    <col min="2" max="2" width="38.6640625" customWidth="1"/>
    <col min="3" max="3" width="5.6640625" customWidth="1"/>
    <col min="4" max="4" width="38.6640625" customWidth="1"/>
    <col min="5" max="5" width="5.6640625" customWidth="1"/>
    <col min="6" max="6" width="38.6640625" customWidth="1"/>
  </cols>
  <sheetData>
    <row r="1" spans="1:7" ht="60" customHeight="1">
      <c r="A1" s="677"/>
      <c r="B1" s="543"/>
      <c r="C1" s="543"/>
      <c r="D1" s="543"/>
      <c r="E1" s="543"/>
      <c r="F1" s="543"/>
      <c r="G1" s="543"/>
    </row>
    <row r="2" spans="1:7" ht="24.75" customHeight="1">
      <c r="A2" s="680"/>
      <c r="B2" s="680"/>
      <c r="C2" s="680"/>
      <c r="D2" s="680"/>
      <c r="E2" s="681"/>
      <c r="F2" s="681"/>
      <c r="G2" s="681"/>
    </row>
    <row r="3" spans="1:7" ht="24.75" customHeight="1">
      <c r="A3" s="323"/>
      <c r="B3" s="323"/>
      <c r="C3" s="323"/>
      <c r="D3" s="323"/>
      <c r="E3" s="290"/>
      <c r="F3" s="290"/>
      <c r="G3" s="290"/>
    </row>
    <row r="4" spans="1:7" ht="20" customHeight="1">
      <c r="A4" s="323"/>
      <c r="B4" s="682" t="s">
        <v>95</v>
      </c>
      <c r="C4" s="682"/>
      <c r="D4" s="682"/>
      <c r="E4" s="682"/>
      <c r="F4" s="682"/>
      <c r="G4" s="324"/>
    </row>
    <row r="5" spans="1:7" ht="28.5" customHeight="1">
      <c r="A5" s="323"/>
      <c r="B5" s="682"/>
      <c r="C5" s="682"/>
      <c r="D5" s="682"/>
      <c r="E5" s="682"/>
      <c r="F5" s="682"/>
      <c r="G5" s="324"/>
    </row>
    <row r="6" spans="1:7" ht="20" customHeight="1">
      <c r="A6" s="323"/>
      <c r="B6" s="328"/>
      <c r="C6" s="328"/>
      <c r="D6" s="328"/>
      <c r="E6" s="328"/>
      <c r="F6" s="328"/>
      <c r="G6" s="324"/>
    </row>
    <row r="7" spans="1:7" ht="24.75" customHeight="1">
      <c r="A7" s="325"/>
      <c r="B7" s="329"/>
      <c r="C7" s="329"/>
      <c r="D7" s="329"/>
      <c r="E7" s="329"/>
      <c r="F7" s="290"/>
      <c r="G7" s="290"/>
    </row>
    <row r="8" spans="1:7" ht="24.75" customHeight="1">
      <c r="A8" s="326"/>
      <c r="B8" s="678" t="s">
        <v>121</v>
      </c>
      <c r="C8" s="673"/>
      <c r="D8" s="673"/>
      <c r="E8" s="673"/>
      <c r="F8" s="673"/>
      <c r="G8" s="267"/>
    </row>
    <row r="9" spans="1:7" ht="24.75" customHeight="1">
      <c r="A9" s="270"/>
      <c r="B9" s="673"/>
      <c r="C9" s="673"/>
      <c r="D9" s="673"/>
      <c r="E9" s="673"/>
      <c r="F9" s="673"/>
      <c r="G9" s="267"/>
    </row>
    <row r="10" spans="1:7" ht="24.75" customHeight="1">
      <c r="A10" s="267"/>
      <c r="B10" s="670" t="s">
        <v>148</v>
      </c>
      <c r="C10" s="670"/>
      <c r="D10" s="670"/>
      <c r="E10" s="670"/>
      <c r="F10" s="670"/>
      <c r="G10" s="296"/>
    </row>
    <row r="11" spans="1:7">
      <c r="A11" s="267" t="s">
        <v>40</v>
      </c>
      <c r="B11" s="296" t="s">
        <v>40</v>
      </c>
      <c r="C11" s="296"/>
      <c r="D11" s="296"/>
      <c r="E11" s="296"/>
      <c r="F11" s="296"/>
      <c r="G11" s="296"/>
    </row>
    <row r="12" spans="1:7" ht="24.75" customHeight="1">
      <c r="A12" s="267"/>
      <c r="B12" s="670" t="s">
        <v>122</v>
      </c>
      <c r="C12" s="670"/>
      <c r="D12" s="670"/>
      <c r="E12" s="670"/>
      <c r="F12" s="670"/>
      <c r="G12" s="296"/>
    </row>
    <row r="13" spans="1:7" ht="24.75" customHeight="1">
      <c r="A13" s="267" t="s">
        <v>40</v>
      </c>
      <c r="B13" s="679"/>
      <c r="C13" s="679"/>
      <c r="D13" s="679"/>
      <c r="E13" s="679"/>
      <c r="F13" s="679"/>
      <c r="G13" s="296"/>
    </row>
    <row r="14" spans="1:7">
      <c r="A14" s="267"/>
      <c r="B14" s="296"/>
      <c r="C14" s="296"/>
      <c r="D14" s="296"/>
      <c r="E14" s="296"/>
      <c r="F14" s="296"/>
      <c r="G14" s="296"/>
    </row>
    <row r="15" spans="1:7">
      <c r="A15" s="267"/>
      <c r="B15" s="296"/>
      <c r="C15" s="296"/>
      <c r="D15" s="296"/>
      <c r="E15" s="296"/>
      <c r="F15" s="296"/>
      <c r="G15" s="296"/>
    </row>
    <row r="16" spans="1:7">
      <c r="A16" s="267"/>
      <c r="B16" s="296"/>
      <c r="C16" s="296"/>
      <c r="D16" s="296"/>
      <c r="E16" s="296"/>
      <c r="F16" s="296"/>
      <c r="G16" s="296"/>
    </row>
    <row r="17" spans="1:7">
      <c r="A17" s="267"/>
      <c r="B17" s="267"/>
      <c r="C17" s="267"/>
      <c r="D17" s="267"/>
      <c r="E17" s="267"/>
      <c r="F17" s="267"/>
      <c r="G17" s="267"/>
    </row>
    <row r="18" spans="1:7">
      <c r="A18" s="267"/>
      <c r="B18" s="267"/>
      <c r="C18" s="267"/>
      <c r="D18" s="267"/>
      <c r="E18" s="267"/>
      <c r="F18" s="267"/>
      <c r="G18" s="267"/>
    </row>
    <row r="19" spans="1:7">
      <c r="A19" s="267"/>
      <c r="B19" s="267"/>
      <c r="C19" s="267"/>
      <c r="D19" s="267"/>
      <c r="E19" s="267"/>
      <c r="F19" s="267"/>
      <c r="G19" s="267"/>
    </row>
    <row r="20" spans="1:7">
      <c r="A20" s="267"/>
      <c r="B20" s="267"/>
      <c r="C20" s="267"/>
      <c r="D20" s="267"/>
      <c r="E20" s="267"/>
      <c r="F20" s="267"/>
      <c r="G20" s="267"/>
    </row>
    <row r="21" spans="1:7">
      <c r="A21" s="267"/>
      <c r="B21" s="267"/>
      <c r="C21" s="267"/>
      <c r="D21" s="267"/>
      <c r="E21" s="267"/>
      <c r="F21" s="267"/>
      <c r="G21" s="267"/>
    </row>
    <row r="22" spans="1:7">
      <c r="A22" s="267"/>
      <c r="B22" s="267"/>
      <c r="C22" s="267"/>
      <c r="D22" s="267"/>
      <c r="E22" s="267"/>
      <c r="F22" s="267"/>
      <c r="G22" s="267"/>
    </row>
    <row r="23" spans="1:7">
      <c r="A23" s="267"/>
      <c r="B23" s="267"/>
      <c r="C23" s="267"/>
      <c r="D23" s="267"/>
      <c r="E23" s="267"/>
      <c r="F23" s="267"/>
      <c r="G23" s="267"/>
    </row>
    <row r="24" spans="1:7">
      <c r="A24" s="267"/>
      <c r="B24" s="267"/>
      <c r="C24" s="267"/>
      <c r="D24" s="267"/>
      <c r="E24" s="267"/>
      <c r="F24" s="267"/>
      <c r="G24" s="267"/>
    </row>
    <row r="25" spans="1:7">
      <c r="A25" s="267"/>
      <c r="B25" s="267"/>
      <c r="C25" s="267"/>
      <c r="D25" s="267"/>
      <c r="E25" s="267"/>
      <c r="F25" s="267"/>
      <c r="G25" s="267"/>
    </row>
  </sheetData>
  <mergeCells count="6">
    <mergeCell ref="A1:G1"/>
    <mergeCell ref="B8:F9"/>
    <mergeCell ref="B10:F10"/>
    <mergeCell ref="B12:F13"/>
    <mergeCell ref="A2:G2"/>
    <mergeCell ref="B4:F5"/>
  </mergeCells>
  <phoneticPr fontId="0" type="noConversion"/>
  <hyperlinks>
    <hyperlink ref="B4:F5" location="AboveScaleCalc!E5" display="AboveScaleCalc!E5"/>
  </hyperlinks>
  <pageMargins left="0.75" right="0.75" top="1" bottom="1" header="0.5" footer="0.5"/>
  <pageSetup scale="85" orientation="landscape"/>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dimension ref="A1:AE67"/>
  <sheetViews>
    <sheetView showGridLines="0" workbookViewId="0">
      <selection activeCell="D7" sqref="D7:E8"/>
    </sheetView>
  </sheetViews>
  <sheetFormatPr baseColWidth="10" defaultColWidth="8.83203125" defaultRowHeight="12" x14ac:dyDescent="0"/>
  <cols>
    <col min="2" max="2" width="5.6640625" customWidth="1"/>
    <col min="3" max="3" width="9.83203125" customWidth="1"/>
    <col min="4" max="4" width="9.33203125" customWidth="1"/>
    <col min="5" max="5" width="8.5" customWidth="1"/>
    <col min="6" max="6" width="8.1640625" customWidth="1"/>
    <col min="7" max="9" width="8.5" customWidth="1"/>
    <col min="10" max="10" width="8.83203125" bestFit="1" customWidth="1"/>
    <col min="11" max="11" width="9.33203125" bestFit="1" customWidth="1"/>
    <col min="12" max="12" width="9.5" bestFit="1" customWidth="1"/>
    <col min="14" max="14" width="9.33203125" bestFit="1" customWidth="1"/>
    <col min="15" max="15" width="9.5" bestFit="1" customWidth="1"/>
    <col min="16" max="16" width="8.83203125" bestFit="1" customWidth="1"/>
    <col min="17" max="17" width="9.33203125" bestFit="1" customWidth="1"/>
    <col min="18" max="18" width="8.5" customWidth="1"/>
    <col min="19" max="27" width="9.33203125" bestFit="1" customWidth="1"/>
  </cols>
  <sheetData>
    <row r="1" spans="1:31" ht="13" thickBot="1">
      <c r="B1" t="s">
        <v>153</v>
      </c>
      <c r="AE1" s="47"/>
    </row>
    <row r="2" spans="1:31" ht="13" thickBot="1">
      <c r="A2" s="174"/>
      <c r="B2" s="458" t="s">
        <v>52</v>
      </c>
      <c r="C2" s="459"/>
      <c r="D2" s="460" t="s">
        <v>53</v>
      </c>
      <c r="E2" s="461"/>
      <c r="F2" s="460" t="s">
        <v>54</v>
      </c>
      <c r="G2" s="461"/>
      <c r="H2" s="460" t="s">
        <v>55</v>
      </c>
      <c r="I2" s="461"/>
      <c r="J2" s="683" t="s">
        <v>56</v>
      </c>
      <c r="K2" s="684"/>
      <c r="L2" s="685"/>
      <c r="M2" s="683" t="s">
        <v>57</v>
      </c>
      <c r="N2" s="684"/>
      <c r="O2" s="685"/>
      <c r="P2" s="460"/>
      <c r="Q2" s="462" t="s">
        <v>58</v>
      </c>
      <c r="R2" s="461"/>
      <c r="S2" s="460"/>
      <c r="T2" s="462" t="s">
        <v>59</v>
      </c>
      <c r="U2" s="461"/>
      <c r="V2" s="462"/>
      <c r="W2" s="462" t="s">
        <v>123</v>
      </c>
      <c r="X2" s="461"/>
      <c r="Y2" s="462"/>
      <c r="Z2" s="462" t="s">
        <v>124</v>
      </c>
      <c r="AA2" s="463"/>
      <c r="AE2" s="47"/>
    </row>
    <row r="3" spans="1:31" ht="14" thickTop="1" thickBot="1">
      <c r="A3" s="175" t="s">
        <v>60</v>
      </c>
      <c r="B3" s="21" t="s">
        <v>61</v>
      </c>
      <c r="C3" s="180" t="s">
        <v>62</v>
      </c>
      <c r="D3" s="28" t="s">
        <v>53</v>
      </c>
      <c r="E3" s="185" t="s">
        <v>63</v>
      </c>
      <c r="F3" s="28" t="s">
        <v>54</v>
      </c>
      <c r="G3" s="185" t="s">
        <v>63</v>
      </c>
      <c r="H3" s="28" t="s">
        <v>55</v>
      </c>
      <c r="I3" s="185" t="s">
        <v>63</v>
      </c>
      <c r="J3" s="28" t="s">
        <v>56</v>
      </c>
      <c r="K3" s="187" t="s">
        <v>63</v>
      </c>
      <c r="L3" s="193" t="s">
        <v>64</v>
      </c>
      <c r="M3" s="28" t="s">
        <v>57</v>
      </c>
      <c r="N3" s="187" t="s">
        <v>63</v>
      </c>
      <c r="O3" s="193" t="s">
        <v>64</v>
      </c>
      <c r="P3" s="32" t="s">
        <v>58</v>
      </c>
      <c r="Q3" s="189" t="s">
        <v>63</v>
      </c>
      <c r="R3" s="195" t="s">
        <v>64</v>
      </c>
      <c r="S3" s="32" t="s">
        <v>59</v>
      </c>
      <c r="T3" s="189" t="s">
        <v>63</v>
      </c>
      <c r="U3" s="195" t="s">
        <v>64</v>
      </c>
      <c r="V3" s="394" t="s">
        <v>123</v>
      </c>
      <c r="W3" s="390" t="s">
        <v>63</v>
      </c>
      <c r="X3" s="391" t="s">
        <v>64</v>
      </c>
      <c r="Y3" s="393" t="s">
        <v>124</v>
      </c>
      <c r="Z3" s="390" t="s">
        <v>63</v>
      </c>
      <c r="AA3" s="391" t="s">
        <v>64</v>
      </c>
      <c r="AC3" s="384"/>
      <c r="AD3" s="384"/>
      <c r="AE3" s="47"/>
    </row>
    <row r="4" spans="1:31" ht="13" thickBot="1">
      <c r="A4" s="176" t="s">
        <v>22</v>
      </c>
      <c r="B4" s="281" t="s">
        <v>85</v>
      </c>
      <c r="C4" s="435">
        <v>54800</v>
      </c>
      <c r="D4" s="439">
        <v>60300</v>
      </c>
      <c r="E4" s="455">
        <v>5500</v>
      </c>
      <c r="F4" s="439">
        <v>65800</v>
      </c>
      <c r="G4" s="455">
        <v>11000</v>
      </c>
      <c r="H4" s="439">
        <v>71200</v>
      </c>
      <c r="I4" s="455">
        <v>16400</v>
      </c>
      <c r="J4" s="439">
        <v>76700</v>
      </c>
      <c r="K4" s="455">
        <v>16400</v>
      </c>
      <c r="L4" s="456">
        <v>5500</v>
      </c>
      <c r="M4" s="439">
        <v>82200</v>
      </c>
      <c r="N4" s="455">
        <v>16400</v>
      </c>
      <c r="O4" s="456">
        <v>11000</v>
      </c>
      <c r="P4" s="444">
        <v>90400</v>
      </c>
      <c r="Q4" s="455">
        <v>16400</v>
      </c>
      <c r="R4" s="456">
        <v>19200</v>
      </c>
      <c r="S4" s="444">
        <v>98600</v>
      </c>
      <c r="T4" s="455">
        <v>16400</v>
      </c>
      <c r="U4" s="457">
        <v>27400</v>
      </c>
      <c r="V4" s="447">
        <v>109600</v>
      </c>
      <c r="W4" s="455">
        <v>16400</v>
      </c>
      <c r="X4" s="456">
        <v>38400</v>
      </c>
      <c r="Y4" s="451">
        <v>123300</v>
      </c>
      <c r="Z4" s="455">
        <v>16400</v>
      </c>
      <c r="AA4" s="456">
        <v>52100</v>
      </c>
    </row>
    <row r="5" spans="1:31" ht="13" thickBot="1">
      <c r="A5" s="177" t="s">
        <v>23</v>
      </c>
      <c r="B5" s="22">
        <v>1</v>
      </c>
      <c r="C5" s="436">
        <v>63600</v>
      </c>
      <c r="D5" s="440">
        <v>70000</v>
      </c>
      <c r="E5" s="186">
        <v>6400</v>
      </c>
      <c r="F5" s="440">
        <v>76300</v>
      </c>
      <c r="G5" s="186">
        <v>12700</v>
      </c>
      <c r="H5" s="440">
        <v>82700</v>
      </c>
      <c r="I5" s="186">
        <v>19100</v>
      </c>
      <c r="J5" s="440">
        <v>89000</v>
      </c>
      <c r="K5" s="186">
        <v>19100</v>
      </c>
      <c r="L5" s="194">
        <v>6300</v>
      </c>
      <c r="M5" s="440">
        <v>95400</v>
      </c>
      <c r="N5" s="186">
        <v>19100</v>
      </c>
      <c r="O5" s="194">
        <v>12700</v>
      </c>
      <c r="P5" s="445">
        <v>104900</v>
      </c>
      <c r="Q5" s="186">
        <v>19100</v>
      </c>
      <c r="R5" s="196">
        <v>22200</v>
      </c>
      <c r="S5" s="445">
        <v>114500</v>
      </c>
      <c r="T5" s="186">
        <v>19100</v>
      </c>
      <c r="U5" s="386">
        <v>31800</v>
      </c>
      <c r="V5" s="448">
        <v>127200</v>
      </c>
      <c r="W5" s="186">
        <v>19100</v>
      </c>
      <c r="X5" s="392">
        <v>44500</v>
      </c>
      <c r="Y5" s="452">
        <v>143100</v>
      </c>
      <c r="Z5" s="186">
        <v>19100</v>
      </c>
      <c r="AA5" s="392">
        <v>60400</v>
      </c>
    </row>
    <row r="6" spans="1:31" ht="13" thickBot="1">
      <c r="A6" s="178"/>
      <c r="B6" s="23">
        <v>2</v>
      </c>
      <c r="C6" s="437">
        <v>67400</v>
      </c>
      <c r="D6" s="441">
        <v>74100</v>
      </c>
      <c r="E6" s="186">
        <v>6700</v>
      </c>
      <c r="F6" s="441">
        <v>80900</v>
      </c>
      <c r="G6" s="186">
        <v>13500</v>
      </c>
      <c r="H6" s="441">
        <v>87600</v>
      </c>
      <c r="I6" s="186">
        <v>20200</v>
      </c>
      <c r="J6" s="441">
        <v>94400</v>
      </c>
      <c r="K6" s="186">
        <v>20200</v>
      </c>
      <c r="L6" s="194">
        <v>6800</v>
      </c>
      <c r="M6" s="441">
        <v>101100</v>
      </c>
      <c r="N6" s="186">
        <v>20200</v>
      </c>
      <c r="O6" s="194">
        <v>13500</v>
      </c>
      <c r="P6" s="38">
        <v>111200</v>
      </c>
      <c r="Q6" s="186">
        <v>20200</v>
      </c>
      <c r="R6" s="197">
        <v>23600</v>
      </c>
      <c r="S6" s="38">
        <v>121300</v>
      </c>
      <c r="T6" s="186">
        <v>20200</v>
      </c>
      <c r="U6" s="387">
        <v>33700</v>
      </c>
      <c r="V6" s="449">
        <v>134800</v>
      </c>
      <c r="W6" s="186">
        <v>20200</v>
      </c>
      <c r="X6" s="197">
        <v>47200</v>
      </c>
      <c r="Y6" s="453">
        <v>151700</v>
      </c>
      <c r="Z6" s="186">
        <v>20200</v>
      </c>
      <c r="AA6" s="197">
        <v>64100</v>
      </c>
    </row>
    <row r="7" spans="1:31" ht="13" thickBot="1">
      <c r="A7" s="178"/>
      <c r="B7" s="23">
        <v>3</v>
      </c>
      <c r="C7" s="437">
        <v>71100</v>
      </c>
      <c r="D7" s="441">
        <v>78200</v>
      </c>
      <c r="E7" s="186">
        <v>7100</v>
      </c>
      <c r="F7" s="441">
        <v>85300</v>
      </c>
      <c r="G7" s="186">
        <v>14200</v>
      </c>
      <c r="H7" s="441">
        <v>92400</v>
      </c>
      <c r="I7" s="186">
        <v>21300</v>
      </c>
      <c r="J7" s="441">
        <v>99500</v>
      </c>
      <c r="K7" s="186">
        <v>21300</v>
      </c>
      <c r="L7" s="194">
        <v>7100</v>
      </c>
      <c r="M7" s="441">
        <v>106700</v>
      </c>
      <c r="N7" s="186">
        <v>21300</v>
      </c>
      <c r="O7" s="194">
        <v>14300</v>
      </c>
      <c r="P7" s="38">
        <v>117300</v>
      </c>
      <c r="Q7" s="186">
        <v>21300</v>
      </c>
      <c r="R7" s="197">
        <v>24900</v>
      </c>
      <c r="S7" s="38">
        <v>128000</v>
      </c>
      <c r="T7" s="186">
        <v>21300</v>
      </c>
      <c r="U7" s="387">
        <v>35600</v>
      </c>
      <c r="V7" s="449">
        <v>142200</v>
      </c>
      <c r="W7" s="186">
        <v>21300</v>
      </c>
      <c r="X7" s="197">
        <v>49800</v>
      </c>
      <c r="Y7" s="453">
        <v>160000</v>
      </c>
      <c r="Z7" s="186">
        <v>21300</v>
      </c>
      <c r="AA7" s="197">
        <v>67600</v>
      </c>
    </row>
    <row r="8" spans="1:31" ht="13" thickBot="1">
      <c r="A8" s="178"/>
      <c r="B8" s="23">
        <v>4</v>
      </c>
      <c r="C8" s="437">
        <v>75200</v>
      </c>
      <c r="D8" s="441">
        <v>82700</v>
      </c>
      <c r="E8" s="186">
        <v>7500</v>
      </c>
      <c r="F8" s="441">
        <v>90200</v>
      </c>
      <c r="G8" s="186">
        <v>15000</v>
      </c>
      <c r="H8" s="441">
        <v>97800</v>
      </c>
      <c r="I8" s="186">
        <v>22600</v>
      </c>
      <c r="J8" s="441">
        <v>105300</v>
      </c>
      <c r="K8" s="186">
        <v>22600</v>
      </c>
      <c r="L8" s="194">
        <v>7500</v>
      </c>
      <c r="M8" s="441">
        <v>112800</v>
      </c>
      <c r="N8" s="186">
        <v>22600</v>
      </c>
      <c r="O8" s="194">
        <v>15000</v>
      </c>
      <c r="P8" s="38">
        <v>124100</v>
      </c>
      <c r="Q8" s="186">
        <v>22600</v>
      </c>
      <c r="R8" s="197">
        <v>26300</v>
      </c>
      <c r="S8" s="38">
        <v>135400</v>
      </c>
      <c r="T8" s="186">
        <v>22600</v>
      </c>
      <c r="U8" s="387">
        <v>37600</v>
      </c>
      <c r="V8" s="449">
        <v>150400</v>
      </c>
      <c r="W8" s="186">
        <v>22600</v>
      </c>
      <c r="X8" s="197">
        <v>52600</v>
      </c>
      <c r="Y8" s="453">
        <v>169200</v>
      </c>
      <c r="Z8" s="186">
        <v>22600</v>
      </c>
      <c r="AA8" s="197">
        <v>71400</v>
      </c>
    </row>
    <row r="9" spans="1:31" ht="13" thickBot="1">
      <c r="A9" s="178"/>
      <c r="B9" s="23">
        <v>5</v>
      </c>
      <c r="C9" s="437">
        <v>78900</v>
      </c>
      <c r="D9" s="441">
        <v>86800</v>
      </c>
      <c r="E9" s="186">
        <v>7900</v>
      </c>
      <c r="F9" s="441">
        <v>94700</v>
      </c>
      <c r="G9" s="186">
        <v>15800</v>
      </c>
      <c r="H9" s="441">
        <v>102600</v>
      </c>
      <c r="I9" s="186">
        <v>23700</v>
      </c>
      <c r="J9" s="441">
        <v>110500</v>
      </c>
      <c r="K9" s="186">
        <v>23700</v>
      </c>
      <c r="L9" s="194">
        <v>7900</v>
      </c>
      <c r="M9" s="441">
        <v>118400</v>
      </c>
      <c r="N9" s="186">
        <v>23700</v>
      </c>
      <c r="O9" s="194">
        <v>15800</v>
      </c>
      <c r="P9" s="38">
        <v>130200</v>
      </c>
      <c r="Q9" s="186">
        <v>23700</v>
      </c>
      <c r="R9" s="197">
        <v>27600</v>
      </c>
      <c r="S9" s="38">
        <v>142000</v>
      </c>
      <c r="T9" s="186">
        <v>23700</v>
      </c>
      <c r="U9" s="387">
        <v>39400</v>
      </c>
      <c r="V9" s="449">
        <v>157800</v>
      </c>
      <c r="W9" s="186">
        <v>23700</v>
      </c>
      <c r="X9" s="197">
        <v>55200</v>
      </c>
      <c r="Y9" s="453">
        <v>177500</v>
      </c>
      <c r="Z9" s="186">
        <v>23700</v>
      </c>
      <c r="AA9" s="197">
        <v>74900</v>
      </c>
    </row>
    <row r="10" spans="1:31" ht="13" thickBot="1">
      <c r="A10" s="179"/>
      <c r="B10" s="24">
        <v>6</v>
      </c>
      <c r="C10" s="438">
        <v>82700</v>
      </c>
      <c r="D10" s="442">
        <v>91000</v>
      </c>
      <c r="E10" s="186">
        <v>8300</v>
      </c>
      <c r="F10" s="442">
        <v>99200</v>
      </c>
      <c r="G10" s="186">
        <v>16500</v>
      </c>
      <c r="H10" s="442">
        <v>107500</v>
      </c>
      <c r="I10" s="186">
        <v>24800</v>
      </c>
      <c r="J10" s="442">
        <v>115800</v>
      </c>
      <c r="K10" s="186">
        <v>24800</v>
      </c>
      <c r="L10" s="194">
        <v>8300</v>
      </c>
      <c r="M10" s="442">
        <v>124100</v>
      </c>
      <c r="N10" s="186">
        <v>24800</v>
      </c>
      <c r="O10" s="194">
        <v>16600</v>
      </c>
      <c r="P10" s="446">
        <v>136500</v>
      </c>
      <c r="Q10" s="186">
        <v>24800</v>
      </c>
      <c r="R10" s="198">
        <v>29000</v>
      </c>
      <c r="S10" s="446">
        <v>148900</v>
      </c>
      <c r="T10" s="186">
        <v>24800</v>
      </c>
      <c r="U10" s="388">
        <v>41400</v>
      </c>
      <c r="V10" s="450">
        <v>165400</v>
      </c>
      <c r="W10" s="186">
        <v>24800</v>
      </c>
      <c r="X10" s="198">
        <v>57900</v>
      </c>
      <c r="Y10" s="454">
        <v>186100</v>
      </c>
      <c r="Z10" s="186">
        <v>24800</v>
      </c>
      <c r="AA10" s="198">
        <v>78600</v>
      </c>
    </row>
    <row r="11" spans="1:31" ht="13" thickBot="1">
      <c r="A11" s="177" t="s">
        <v>24</v>
      </c>
      <c r="B11" s="22">
        <v>1</v>
      </c>
      <c r="C11" s="436">
        <v>79000</v>
      </c>
      <c r="D11" s="440">
        <v>86900</v>
      </c>
      <c r="E11" s="186">
        <v>7900</v>
      </c>
      <c r="F11" s="440">
        <v>94800</v>
      </c>
      <c r="G11" s="186">
        <v>15800</v>
      </c>
      <c r="H11" s="440">
        <v>102700</v>
      </c>
      <c r="I11" s="186">
        <v>23700</v>
      </c>
      <c r="J11" s="440">
        <v>110600</v>
      </c>
      <c r="K11" s="186">
        <v>23700</v>
      </c>
      <c r="L11" s="194">
        <v>7900</v>
      </c>
      <c r="M11" s="440">
        <v>118500</v>
      </c>
      <c r="N11" s="186">
        <v>23700</v>
      </c>
      <c r="O11" s="194">
        <v>15800</v>
      </c>
      <c r="P11" s="445">
        <v>130400</v>
      </c>
      <c r="Q11" s="186">
        <v>23700</v>
      </c>
      <c r="R11" s="196">
        <v>27700</v>
      </c>
      <c r="S11" s="445">
        <v>142200</v>
      </c>
      <c r="T11" s="186">
        <v>23700</v>
      </c>
      <c r="U11" s="386">
        <v>39500</v>
      </c>
      <c r="V11" s="448">
        <v>158000</v>
      </c>
      <c r="W11" s="186">
        <v>23700</v>
      </c>
      <c r="X11" s="392">
        <v>55300</v>
      </c>
      <c r="Y11" s="452">
        <v>177800</v>
      </c>
      <c r="Z11" s="186">
        <v>23700</v>
      </c>
      <c r="AA11" s="392">
        <v>75100</v>
      </c>
    </row>
    <row r="12" spans="1:31" ht="13" thickBot="1">
      <c r="A12" s="178"/>
      <c r="B12" s="23">
        <v>2</v>
      </c>
      <c r="C12" s="437">
        <v>82800</v>
      </c>
      <c r="D12" s="441">
        <v>91100</v>
      </c>
      <c r="E12" s="186">
        <v>8300</v>
      </c>
      <c r="F12" s="441">
        <v>99400</v>
      </c>
      <c r="G12" s="186">
        <v>16600</v>
      </c>
      <c r="H12" s="441">
        <v>107600</v>
      </c>
      <c r="I12" s="186">
        <v>24800</v>
      </c>
      <c r="J12" s="441">
        <v>115900</v>
      </c>
      <c r="K12" s="186">
        <v>24800</v>
      </c>
      <c r="L12" s="194">
        <v>8300</v>
      </c>
      <c r="M12" s="441">
        <v>124200</v>
      </c>
      <c r="N12" s="186">
        <v>24800</v>
      </c>
      <c r="O12" s="194">
        <v>16600</v>
      </c>
      <c r="P12" s="38">
        <v>136600</v>
      </c>
      <c r="Q12" s="186">
        <v>24800</v>
      </c>
      <c r="R12" s="197">
        <v>29000</v>
      </c>
      <c r="S12" s="38">
        <v>149000</v>
      </c>
      <c r="T12" s="186">
        <v>24800</v>
      </c>
      <c r="U12" s="387">
        <v>41400</v>
      </c>
      <c r="V12" s="449">
        <v>165600</v>
      </c>
      <c r="W12" s="186">
        <v>24800</v>
      </c>
      <c r="X12" s="197">
        <v>58000</v>
      </c>
      <c r="Y12" s="453">
        <v>186300</v>
      </c>
      <c r="Z12" s="186">
        <v>24800</v>
      </c>
      <c r="AA12" s="197">
        <v>78700</v>
      </c>
    </row>
    <row r="13" spans="1:31" ht="13" thickBot="1">
      <c r="A13" s="178"/>
      <c r="B13" s="23">
        <v>3</v>
      </c>
      <c r="C13" s="437">
        <v>87400</v>
      </c>
      <c r="D13" s="441">
        <v>96100</v>
      </c>
      <c r="E13" s="186">
        <v>8700</v>
      </c>
      <c r="F13" s="441">
        <v>104900</v>
      </c>
      <c r="G13" s="186">
        <v>17500</v>
      </c>
      <c r="H13" s="441">
        <v>113600</v>
      </c>
      <c r="I13" s="186">
        <v>26200</v>
      </c>
      <c r="J13" s="441">
        <v>122400</v>
      </c>
      <c r="K13" s="186">
        <v>26200</v>
      </c>
      <c r="L13" s="194">
        <v>8800</v>
      </c>
      <c r="M13" s="441">
        <v>131100</v>
      </c>
      <c r="N13" s="186">
        <v>26200</v>
      </c>
      <c r="O13" s="194">
        <v>17500</v>
      </c>
      <c r="P13" s="38">
        <v>144200</v>
      </c>
      <c r="Q13" s="186">
        <v>26200</v>
      </c>
      <c r="R13" s="197">
        <v>30600</v>
      </c>
      <c r="S13" s="38">
        <v>157300</v>
      </c>
      <c r="T13" s="186">
        <v>26200</v>
      </c>
      <c r="U13" s="387">
        <v>43700</v>
      </c>
      <c r="V13" s="449">
        <v>174800</v>
      </c>
      <c r="W13" s="186">
        <v>26200</v>
      </c>
      <c r="X13" s="197">
        <v>61200</v>
      </c>
      <c r="Y13" s="453">
        <v>196700</v>
      </c>
      <c r="Z13" s="186">
        <v>26200</v>
      </c>
      <c r="AA13" s="197">
        <v>83100</v>
      </c>
    </row>
    <row r="14" spans="1:31" ht="13" thickBot="1">
      <c r="A14" s="178"/>
      <c r="B14" s="23">
        <v>4</v>
      </c>
      <c r="C14" s="437">
        <v>92800</v>
      </c>
      <c r="D14" s="441">
        <v>102100</v>
      </c>
      <c r="E14" s="186">
        <v>9300</v>
      </c>
      <c r="F14" s="441">
        <v>111400</v>
      </c>
      <c r="G14" s="186">
        <v>18600</v>
      </c>
      <c r="H14" s="441">
        <v>120600</v>
      </c>
      <c r="I14" s="186">
        <v>27800</v>
      </c>
      <c r="J14" s="441">
        <v>129900</v>
      </c>
      <c r="K14" s="186">
        <v>27800</v>
      </c>
      <c r="L14" s="194">
        <v>9300</v>
      </c>
      <c r="M14" s="441">
        <v>139200</v>
      </c>
      <c r="N14" s="186">
        <v>27800</v>
      </c>
      <c r="O14" s="194">
        <v>18600</v>
      </c>
      <c r="P14" s="38">
        <v>153100</v>
      </c>
      <c r="Q14" s="186">
        <v>27800</v>
      </c>
      <c r="R14" s="197">
        <v>32500</v>
      </c>
      <c r="S14" s="38">
        <v>167000</v>
      </c>
      <c r="T14" s="186">
        <v>27800</v>
      </c>
      <c r="U14" s="387">
        <v>46400</v>
      </c>
      <c r="V14" s="449">
        <v>185600</v>
      </c>
      <c r="W14" s="186">
        <v>27800</v>
      </c>
      <c r="X14" s="197">
        <v>65000</v>
      </c>
      <c r="Y14" s="453">
        <v>208800</v>
      </c>
      <c r="Z14" s="186">
        <v>27800</v>
      </c>
      <c r="AA14" s="197">
        <v>88200</v>
      </c>
    </row>
    <row r="15" spans="1:31" ht="13" thickBot="1">
      <c r="A15" s="179"/>
      <c r="B15" s="24">
        <v>5</v>
      </c>
      <c r="C15" s="438">
        <v>100000</v>
      </c>
      <c r="D15" s="442">
        <v>110000</v>
      </c>
      <c r="E15" s="186">
        <v>10000</v>
      </c>
      <c r="F15" s="442">
        <v>120000</v>
      </c>
      <c r="G15" s="186">
        <v>20000</v>
      </c>
      <c r="H15" s="442">
        <v>130000</v>
      </c>
      <c r="I15" s="186">
        <v>30000</v>
      </c>
      <c r="J15" s="442">
        <v>140000</v>
      </c>
      <c r="K15" s="186">
        <v>30000</v>
      </c>
      <c r="L15" s="194">
        <v>10000</v>
      </c>
      <c r="M15" s="442">
        <v>150000</v>
      </c>
      <c r="N15" s="186">
        <v>30000</v>
      </c>
      <c r="O15" s="194">
        <v>20000</v>
      </c>
      <c r="P15" s="446">
        <v>165000</v>
      </c>
      <c r="Q15" s="186">
        <v>30000</v>
      </c>
      <c r="R15" s="198">
        <v>35000</v>
      </c>
      <c r="S15" s="446">
        <v>180000</v>
      </c>
      <c r="T15" s="186">
        <v>30000</v>
      </c>
      <c r="U15" s="388">
        <v>50000</v>
      </c>
      <c r="V15" s="450">
        <v>200000</v>
      </c>
      <c r="W15" s="186">
        <v>30000</v>
      </c>
      <c r="X15" s="198">
        <v>70000</v>
      </c>
      <c r="Y15" s="454">
        <v>225000</v>
      </c>
      <c r="Z15" s="186">
        <v>30000</v>
      </c>
      <c r="AA15" s="198">
        <v>95000</v>
      </c>
    </row>
    <row r="16" spans="1:31" ht="13" thickBot="1">
      <c r="A16" s="177" t="s">
        <v>25</v>
      </c>
      <c r="B16" s="22">
        <v>1</v>
      </c>
      <c r="C16" s="436">
        <v>92900</v>
      </c>
      <c r="D16" s="440">
        <v>102200</v>
      </c>
      <c r="E16" s="186">
        <v>9300</v>
      </c>
      <c r="F16" s="440">
        <v>111500</v>
      </c>
      <c r="G16" s="186">
        <v>18600</v>
      </c>
      <c r="H16" s="440">
        <v>120800</v>
      </c>
      <c r="I16" s="186">
        <v>27900</v>
      </c>
      <c r="J16" s="440">
        <v>130100</v>
      </c>
      <c r="K16" s="186">
        <v>27900</v>
      </c>
      <c r="L16" s="194">
        <v>9300</v>
      </c>
      <c r="M16" s="440">
        <v>139400</v>
      </c>
      <c r="N16" s="186">
        <v>27900</v>
      </c>
      <c r="O16" s="194">
        <v>18600</v>
      </c>
      <c r="P16" s="445">
        <v>153300</v>
      </c>
      <c r="Q16" s="186">
        <v>27900</v>
      </c>
      <c r="R16" s="196">
        <v>32500</v>
      </c>
      <c r="S16" s="445">
        <v>167200</v>
      </c>
      <c r="T16" s="186">
        <v>27900</v>
      </c>
      <c r="U16" s="386">
        <v>46400</v>
      </c>
      <c r="V16" s="448">
        <v>185800</v>
      </c>
      <c r="W16" s="186">
        <v>27900</v>
      </c>
      <c r="X16" s="392">
        <v>65000</v>
      </c>
      <c r="Y16" s="452">
        <v>209000</v>
      </c>
      <c r="Z16" s="186">
        <v>27900</v>
      </c>
      <c r="AA16" s="392">
        <v>88200</v>
      </c>
    </row>
    <row r="17" spans="1:27" ht="13" thickBot="1">
      <c r="A17" s="178"/>
      <c r="B17" s="23">
        <v>2</v>
      </c>
      <c r="C17" s="437">
        <v>100100</v>
      </c>
      <c r="D17" s="441">
        <v>110100</v>
      </c>
      <c r="E17" s="186">
        <v>10000</v>
      </c>
      <c r="F17" s="441">
        <v>120100</v>
      </c>
      <c r="G17" s="186">
        <v>20000</v>
      </c>
      <c r="H17" s="441">
        <v>130100</v>
      </c>
      <c r="I17" s="186">
        <v>30000</v>
      </c>
      <c r="J17" s="441">
        <v>140100</v>
      </c>
      <c r="K17" s="186">
        <v>30000</v>
      </c>
      <c r="L17" s="194">
        <v>10000</v>
      </c>
      <c r="M17" s="441">
        <v>150200</v>
      </c>
      <c r="N17" s="186">
        <v>30000</v>
      </c>
      <c r="O17" s="194">
        <v>20100</v>
      </c>
      <c r="P17" s="38">
        <v>165200</v>
      </c>
      <c r="Q17" s="186">
        <v>30000</v>
      </c>
      <c r="R17" s="197">
        <v>35100</v>
      </c>
      <c r="S17" s="38">
        <v>180200</v>
      </c>
      <c r="T17" s="186">
        <v>30000</v>
      </c>
      <c r="U17" s="387">
        <v>50100</v>
      </c>
      <c r="V17" s="449">
        <v>200200</v>
      </c>
      <c r="W17" s="186">
        <v>30000</v>
      </c>
      <c r="X17" s="197">
        <v>70100</v>
      </c>
      <c r="Y17" s="453">
        <v>225200</v>
      </c>
      <c r="Z17" s="186">
        <v>30000</v>
      </c>
      <c r="AA17" s="197">
        <v>95100</v>
      </c>
    </row>
    <row r="18" spans="1:27" ht="13" thickBot="1">
      <c r="A18" s="178"/>
      <c r="B18" s="23">
        <v>3</v>
      </c>
      <c r="C18" s="437">
        <v>107400</v>
      </c>
      <c r="D18" s="441">
        <v>118100</v>
      </c>
      <c r="E18" s="186">
        <v>10700</v>
      </c>
      <c r="F18" s="441">
        <v>128900</v>
      </c>
      <c r="G18" s="186">
        <v>21500</v>
      </c>
      <c r="H18" s="441">
        <v>139600</v>
      </c>
      <c r="I18" s="186">
        <v>32200</v>
      </c>
      <c r="J18" s="441">
        <v>150400</v>
      </c>
      <c r="K18" s="186">
        <v>32200</v>
      </c>
      <c r="L18" s="194">
        <v>10800</v>
      </c>
      <c r="M18" s="441">
        <v>161100</v>
      </c>
      <c r="N18" s="186">
        <v>32200</v>
      </c>
      <c r="O18" s="194">
        <v>21500</v>
      </c>
      <c r="P18" s="38">
        <v>177200</v>
      </c>
      <c r="Q18" s="186">
        <v>32200</v>
      </c>
      <c r="R18" s="197">
        <v>37600</v>
      </c>
      <c r="S18" s="38">
        <v>193300</v>
      </c>
      <c r="T18" s="186">
        <v>32200</v>
      </c>
      <c r="U18" s="387">
        <v>53700</v>
      </c>
      <c r="V18" s="449">
        <v>214800</v>
      </c>
      <c r="W18" s="186">
        <v>32200</v>
      </c>
      <c r="X18" s="197">
        <v>75200</v>
      </c>
      <c r="Y18" s="453">
        <v>241700</v>
      </c>
      <c r="Z18" s="186">
        <v>32200</v>
      </c>
      <c r="AA18" s="197">
        <v>102100</v>
      </c>
    </row>
    <row r="19" spans="1:27" ht="13" thickBot="1">
      <c r="A19" s="178"/>
      <c r="B19" s="23">
        <v>4</v>
      </c>
      <c r="C19" s="437">
        <v>115200</v>
      </c>
      <c r="D19" s="441">
        <v>126700</v>
      </c>
      <c r="E19" s="186">
        <v>11500</v>
      </c>
      <c r="F19" s="441">
        <v>138200</v>
      </c>
      <c r="G19" s="186">
        <v>23000</v>
      </c>
      <c r="H19" s="441">
        <v>149800</v>
      </c>
      <c r="I19" s="186">
        <v>34600</v>
      </c>
      <c r="J19" s="441">
        <v>161300</v>
      </c>
      <c r="K19" s="186">
        <v>34600</v>
      </c>
      <c r="L19" s="194">
        <v>11500</v>
      </c>
      <c r="M19" s="441">
        <v>172800</v>
      </c>
      <c r="N19" s="186">
        <v>34600</v>
      </c>
      <c r="O19" s="194">
        <v>23000</v>
      </c>
      <c r="P19" s="38">
        <v>190100</v>
      </c>
      <c r="Q19" s="186">
        <v>34600</v>
      </c>
      <c r="R19" s="197">
        <v>40300</v>
      </c>
      <c r="S19" s="38">
        <v>207400</v>
      </c>
      <c r="T19" s="186">
        <v>34600</v>
      </c>
      <c r="U19" s="387">
        <v>57600</v>
      </c>
      <c r="V19" s="449">
        <v>230400</v>
      </c>
      <c r="W19" s="186">
        <v>34600</v>
      </c>
      <c r="X19" s="197">
        <v>80600</v>
      </c>
      <c r="Y19" s="453">
        <v>259200</v>
      </c>
      <c r="Z19" s="186">
        <v>34600</v>
      </c>
      <c r="AA19" s="197">
        <v>109400</v>
      </c>
    </row>
    <row r="20" spans="1:27" ht="13" thickBot="1">
      <c r="A20" s="178"/>
      <c r="B20" s="23">
        <v>5</v>
      </c>
      <c r="C20" s="437">
        <v>123400</v>
      </c>
      <c r="D20" s="441">
        <v>135700</v>
      </c>
      <c r="E20" s="186">
        <v>12300</v>
      </c>
      <c r="F20" s="441">
        <v>148100</v>
      </c>
      <c r="G20" s="186">
        <v>24700</v>
      </c>
      <c r="H20" s="441">
        <v>160400</v>
      </c>
      <c r="I20" s="186">
        <v>37000</v>
      </c>
      <c r="J20" s="441">
        <v>172800</v>
      </c>
      <c r="K20" s="186">
        <v>37000</v>
      </c>
      <c r="L20" s="194">
        <v>12400</v>
      </c>
      <c r="M20" s="441">
        <v>185100</v>
      </c>
      <c r="N20" s="186">
        <v>37000</v>
      </c>
      <c r="O20" s="194">
        <v>24700</v>
      </c>
      <c r="P20" s="38">
        <v>203600</v>
      </c>
      <c r="Q20" s="186">
        <v>37000</v>
      </c>
      <c r="R20" s="197">
        <v>43200</v>
      </c>
      <c r="S20" s="38">
        <v>222100</v>
      </c>
      <c r="T20" s="186">
        <v>37000</v>
      </c>
      <c r="U20" s="387">
        <v>61700</v>
      </c>
      <c r="V20" s="449">
        <v>246800</v>
      </c>
      <c r="W20" s="186">
        <v>37000</v>
      </c>
      <c r="X20" s="197">
        <v>86400</v>
      </c>
      <c r="Y20" s="453">
        <v>277700</v>
      </c>
      <c r="Z20" s="186">
        <v>37000</v>
      </c>
      <c r="AA20" s="197">
        <v>117300</v>
      </c>
    </row>
    <row r="21" spans="1:27" ht="13" thickBot="1">
      <c r="A21" s="178"/>
      <c r="B21" s="23">
        <v>6</v>
      </c>
      <c r="C21" s="437">
        <v>133600</v>
      </c>
      <c r="D21" s="441">
        <v>147000</v>
      </c>
      <c r="E21" s="186">
        <v>13400</v>
      </c>
      <c r="F21" s="441">
        <v>160300</v>
      </c>
      <c r="G21" s="186">
        <v>26700</v>
      </c>
      <c r="H21" s="441">
        <v>173700</v>
      </c>
      <c r="I21" s="186">
        <v>40100</v>
      </c>
      <c r="J21" s="441">
        <v>187000</v>
      </c>
      <c r="K21" s="186">
        <v>40100</v>
      </c>
      <c r="L21" s="194">
        <v>13300</v>
      </c>
      <c r="M21" s="441">
        <v>200400</v>
      </c>
      <c r="N21" s="186">
        <v>40100</v>
      </c>
      <c r="O21" s="194">
        <v>26700</v>
      </c>
      <c r="P21" s="38">
        <v>220400</v>
      </c>
      <c r="Q21" s="186">
        <v>40100</v>
      </c>
      <c r="R21" s="197">
        <v>46700</v>
      </c>
      <c r="S21" s="38">
        <v>240500</v>
      </c>
      <c r="T21" s="186">
        <v>40100</v>
      </c>
      <c r="U21" s="387">
        <v>66800</v>
      </c>
      <c r="V21" s="449">
        <v>267200</v>
      </c>
      <c r="W21" s="186">
        <v>40100</v>
      </c>
      <c r="X21" s="197">
        <v>93500</v>
      </c>
      <c r="Y21" s="453">
        <v>300600</v>
      </c>
      <c r="Z21" s="186">
        <v>40100</v>
      </c>
      <c r="AA21" s="197">
        <v>126900</v>
      </c>
    </row>
    <row r="22" spans="1:27" ht="13" thickBot="1">
      <c r="A22" s="178"/>
      <c r="B22" s="23">
        <v>7</v>
      </c>
      <c r="C22" s="437">
        <v>144600</v>
      </c>
      <c r="D22" s="441">
        <v>159100</v>
      </c>
      <c r="E22" s="186">
        <v>14500</v>
      </c>
      <c r="F22" s="441">
        <v>173500</v>
      </c>
      <c r="G22" s="186">
        <v>28900</v>
      </c>
      <c r="H22" s="441">
        <v>188000</v>
      </c>
      <c r="I22" s="186">
        <v>43400</v>
      </c>
      <c r="J22" s="441">
        <v>202400</v>
      </c>
      <c r="K22" s="186">
        <v>43400</v>
      </c>
      <c r="L22" s="194">
        <v>14400</v>
      </c>
      <c r="M22" s="441">
        <v>216900</v>
      </c>
      <c r="N22" s="186">
        <v>43400</v>
      </c>
      <c r="O22" s="194">
        <v>28900</v>
      </c>
      <c r="P22" s="38">
        <v>238600</v>
      </c>
      <c r="Q22" s="186">
        <v>43400</v>
      </c>
      <c r="R22" s="197">
        <v>50600</v>
      </c>
      <c r="S22" s="38">
        <v>260300</v>
      </c>
      <c r="T22" s="186">
        <v>43400</v>
      </c>
      <c r="U22" s="387">
        <v>72300</v>
      </c>
      <c r="V22" s="449">
        <v>289200</v>
      </c>
      <c r="W22" s="186">
        <v>43400</v>
      </c>
      <c r="X22" s="197">
        <v>101200</v>
      </c>
      <c r="Y22" s="453">
        <v>325400</v>
      </c>
      <c r="Z22" s="186">
        <v>43400</v>
      </c>
      <c r="AA22" s="197">
        <v>137400</v>
      </c>
    </row>
    <row r="23" spans="1:27" ht="13" thickBot="1">
      <c r="A23" s="363"/>
      <c r="B23" s="365">
        <v>8</v>
      </c>
      <c r="C23" s="438">
        <v>156600</v>
      </c>
      <c r="D23" s="442">
        <v>172300</v>
      </c>
      <c r="E23" s="186">
        <v>15700</v>
      </c>
      <c r="F23" s="442">
        <v>187900</v>
      </c>
      <c r="G23" s="186">
        <v>31300</v>
      </c>
      <c r="H23" s="442">
        <v>203600</v>
      </c>
      <c r="I23" s="186">
        <v>47000</v>
      </c>
      <c r="J23" s="442">
        <v>219200</v>
      </c>
      <c r="K23" s="186">
        <v>47000</v>
      </c>
      <c r="L23" s="194">
        <v>15600</v>
      </c>
      <c r="M23" s="442">
        <v>234900</v>
      </c>
      <c r="N23" s="186">
        <v>47000</v>
      </c>
      <c r="O23" s="194">
        <v>31300</v>
      </c>
      <c r="P23" s="446">
        <v>258400</v>
      </c>
      <c r="Q23" s="186">
        <v>47000</v>
      </c>
      <c r="R23" s="198">
        <v>54800</v>
      </c>
      <c r="S23" s="446">
        <v>281900</v>
      </c>
      <c r="T23" s="186">
        <v>47000</v>
      </c>
      <c r="U23" s="388">
        <v>78300</v>
      </c>
      <c r="V23" s="449">
        <v>313200</v>
      </c>
      <c r="W23" s="186">
        <v>47000</v>
      </c>
      <c r="X23" s="197">
        <v>109600</v>
      </c>
      <c r="Y23" s="453">
        <v>352400</v>
      </c>
      <c r="Z23" s="186">
        <v>47000</v>
      </c>
      <c r="AA23" s="197">
        <v>148800</v>
      </c>
    </row>
    <row r="24" spans="1:27" ht="13" thickBot="1">
      <c r="A24" s="370"/>
      <c r="B24" s="409">
        <v>9</v>
      </c>
      <c r="C24" s="438">
        <v>169600</v>
      </c>
      <c r="D24" s="442">
        <v>186600</v>
      </c>
      <c r="E24" s="209">
        <v>17000</v>
      </c>
      <c r="F24" s="443">
        <v>203500</v>
      </c>
      <c r="G24" s="366">
        <v>33900</v>
      </c>
      <c r="H24" s="443">
        <v>220500</v>
      </c>
      <c r="I24" s="366">
        <v>50900</v>
      </c>
      <c r="J24" s="443">
        <v>237400</v>
      </c>
      <c r="K24" s="366">
        <v>50900</v>
      </c>
      <c r="L24" s="367">
        <v>16900</v>
      </c>
      <c r="M24" s="443">
        <v>254400</v>
      </c>
      <c r="N24" s="366">
        <v>50900</v>
      </c>
      <c r="O24" s="198">
        <v>33900</v>
      </c>
      <c r="P24" s="443">
        <v>279800</v>
      </c>
      <c r="Q24" s="366">
        <v>50900</v>
      </c>
      <c r="R24" s="198">
        <v>59300</v>
      </c>
      <c r="S24" s="443">
        <v>305300</v>
      </c>
      <c r="T24" s="366">
        <v>50900</v>
      </c>
      <c r="U24" s="389">
        <v>84800</v>
      </c>
      <c r="V24" s="449">
        <v>339200</v>
      </c>
      <c r="W24" s="366">
        <v>50900</v>
      </c>
      <c r="X24" s="197">
        <v>118700</v>
      </c>
      <c r="Y24" s="453">
        <v>381600</v>
      </c>
      <c r="Z24" s="366">
        <v>50900</v>
      </c>
      <c r="AA24" s="197">
        <v>161100</v>
      </c>
    </row>
    <row r="25" spans="1:27" ht="13" thickBot="1"/>
    <row r="26" spans="1:27" ht="13" thickBot="1">
      <c r="D26" s="43" t="s">
        <v>26</v>
      </c>
      <c r="E26" s="44"/>
      <c r="F26" s="44"/>
      <c r="G26" s="44"/>
      <c r="H26" s="44"/>
      <c r="I26" s="44"/>
      <c r="J26" s="44"/>
      <c r="K26" s="396"/>
      <c r="L26" s="45"/>
      <c r="M26" s="44" t="s">
        <v>27</v>
      </c>
      <c r="N26" s="44"/>
      <c r="O26" s="44"/>
      <c r="P26" s="395"/>
      <c r="Q26" s="44"/>
      <c r="R26" s="44"/>
      <c r="S26" s="45"/>
    </row>
    <row r="27" spans="1:27">
      <c r="A27" s="20"/>
      <c r="B27" s="20"/>
      <c r="C27" s="25" t="s">
        <v>18</v>
      </c>
      <c r="D27" s="26" t="s">
        <v>19</v>
      </c>
      <c r="E27" s="30" t="s">
        <v>19</v>
      </c>
      <c r="F27" s="30" t="s">
        <v>19</v>
      </c>
      <c r="G27" s="30" t="s">
        <v>19</v>
      </c>
      <c r="H27" s="30" t="s">
        <v>19</v>
      </c>
      <c r="I27" s="30" t="s">
        <v>19</v>
      </c>
      <c r="J27" s="31" t="s">
        <v>19</v>
      </c>
      <c r="K27" s="30" t="s">
        <v>19</v>
      </c>
      <c r="L27" s="27" t="s">
        <v>19</v>
      </c>
      <c r="M27" s="31" t="s">
        <v>19</v>
      </c>
      <c r="N27" s="31" t="s">
        <v>19</v>
      </c>
      <c r="O27" s="31" t="s">
        <v>19</v>
      </c>
      <c r="P27" s="30" t="s">
        <v>19</v>
      </c>
      <c r="Q27" s="30" t="s">
        <v>19</v>
      </c>
      <c r="R27" s="27" t="s">
        <v>19</v>
      </c>
      <c r="S27" s="29"/>
    </row>
    <row r="28" spans="1:27" ht="13" thickBot="1">
      <c r="A28" s="34" t="s">
        <v>20</v>
      </c>
      <c r="B28" s="21" t="s">
        <v>21</v>
      </c>
      <c r="C28" s="180" t="s">
        <v>19</v>
      </c>
      <c r="D28" s="399">
        <v>1</v>
      </c>
      <c r="E28" s="189">
        <v>2</v>
      </c>
      <c r="F28" s="189">
        <v>3</v>
      </c>
      <c r="G28" s="189">
        <v>4</v>
      </c>
      <c r="H28" s="189">
        <v>5</v>
      </c>
      <c r="I28" s="189">
        <v>6</v>
      </c>
      <c r="J28" s="189">
        <v>7</v>
      </c>
      <c r="K28" s="187">
        <v>8</v>
      </c>
      <c r="L28" s="185">
        <v>9</v>
      </c>
      <c r="M28" s="279">
        <v>4</v>
      </c>
      <c r="N28" s="278">
        <v>5</v>
      </c>
      <c r="O28" s="278">
        <v>6</v>
      </c>
      <c r="P28" s="279">
        <v>7</v>
      </c>
      <c r="Q28" s="279">
        <v>8</v>
      </c>
      <c r="R28" s="195">
        <v>9</v>
      </c>
      <c r="S28" s="33"/>
    </row>
    <row r="29" spans="1:27" ht="13" thickBot="1">
      <c r="A29" s="42" t="s">
        <v>22</v>
      </c>
      <c r="B29" s="281" t="s">
        <v>85</v>
      </c>
      <c r="C29" s="181">
        <f>C4</f>
        <v>54800</v>
      </c>
      <c r="D29" s="188">
        <f>E4</f>
        <v>5500</v>
      </c>
      <c r="E29" s="188">
        <f>G4</f>
        <v>11000</v>
      </c>
      <c r="F29" s="188">
        <f>I4</f>
        <v>16400</v>
      </c>
      <c r="G29" s="188">
        <f>K4</f>
        <v>16400</v>
      </c>
      <c r="H29" s="188">
        <f>N4</f>
        <v>16400</v>
      </c>
      <c r="I29" s="188">
        <f>Q4</f>
        <v>16400</v>
      </c>
      <c r="J29" s="364">
        <f>T4</f>
        <v>16400</v>
      </c>
      <c r="K29" s="188">
        <f>W4</f>
        <v>16400</v>
      </c>
      <c r="L29" s="186">
        <f>Z4</f>
        <v>16400</v>
      </c>
      <c r="M29" s="397">
        <f>L4</f>
        <v>5500</v>
      </c>
      <c r="N29" s="397">
        <f>O4</f>
        <v>11000</v>
      </c>
      <c r="O29" s="398">
        <f>R4</f>
        <v>19200</v>
      </c>
      <c r="P29" s="280">
        <f>U4</f>
        <v>27400</v>
      </c>
      <c r="Q29" s="398">
        <f>X4</f>
        <v>38400</v>
      </c>
      <c r="R29" s="194">
        <f>AA4</f>
        <v>52100</v>
      </c>
      <c r="S29" s="400"/>
    </row>
    <row r="30" spans="1:27">
      <c r="A30" t="s">
        <v>29</v>
      </c>
      <c r="B30">
        <f>OnScaleCalc!E32</f>
        <v>0</v>
      </c>
      <c r="D30">
        <f>IF(Instr_curr_Scale=1,IF(Instr_curr_Step&lt;&gt;0,LOOKUP(Instr_curr_Step,InstrSteps,HST_I1),0),0)</f>
        <v>0</v>
      </c>
      <c r="E30">
        <f>IF(Instr_curr_Scale=2,IF(Instr_curr_Step&lt;&gt;0,LOOKUP(Instr_curr_Step,InstrSteps,HST_I2),0),0)</f>
        <v>0</v>
      </c>
      <c r="F30">
        <f>IF(Instr_curr_Scale=3,IF(Instr_curr_Step&lt;&gt;0,LOOKUP(Instr_curr_Step,InstrSteps,HST_I3),0),0)</f>
        <v>0</v>
      </c>
      <c r="G30">
        <f>IF(Instr_curr_Scale=4,IF(Instr_curr_Step&lt;&gt;0,LOOKUP(Instr_curr_Step,InstrSteps,HST_I4),0),0)</f>
        <v>0</v>
      </c>
      <c r="H30">
        <f>IF(Instr_curr_Scale=5,IF(Instr_curr_Step&lt;&gt;0,LOOKUP(Instr_curr_Step,InstrSteps,HST_I5),0),0)</f>
        <v>0</v>
      </c>
      <c r="I30">
        <f>IF(Instr_curr_Scale=6,IF(Instr_curr_Step&lt;&gt;0,LOOKUP(Instr_curr_Step,InstrSteps,HST_I6),0),0)</f>
        <v>0</v>
      </c>
      <c r="J30">
        <f>IF(Instr_curr_Scale=7,IF(Instr_curr_Step&lt;&gt;0,LOOKUP(Instr_curr_Step,InstrSteps,HST_I7),0),0)</f>
        <v>0</v>
      </c>
      <c r="K30">
        <f>IF(Instr_curr_Scale=8,IF(Instr_curr_Step&lt;&gt;0,LOOKUP(Instr_curr_Step,InstrSteps,K29),0),0)</f>
        <v>0</v>
      </c>
      <c r="L30">
        <f>IF(Instr_curr_Scale=9,IF(Instr_curr_Step&lt;&gt;0,LOOKUP(Instr_curr_Step,InstrSteps,L29),0),0)</f>
        <v>0</v>
      </c>
      <c r="M30">
        <f>IF(Instr_curr_Scale=4,IF(Instr_curr_Step&lt;&gt;0,LOOKUP(Instr_curr_Step,InstrSteps,M29),0),0)</f>
        <v>0</v>
      </c>
      <c r="N30">
        <f>IF(Instr_curr_Scale=5,IF(Instr_curr_Step&lt;&gt;0,LOOKUP(Instr_curr_Step,InstrSteps,N29),0),0)</f>
        <v>0</v>
      </c>
      <c r="O30">
        <f>IF(Instr_curr_Scale=6,IF(Instr_curr_Step&lt;&gt;0,LOOKUP(Instr_curr_Step,InstrSteps,O29),0),0)</f>
        <v>0</v>
      </c>
      <c r="P30">
        <f>IF(Instr_curr_Scale=7,IF(Instr_curr_Step&lt;&gt;0,LOOKUP(Instr_curr_Step,InstrSteps,P29),0),0)</f>
        <v>0</v>
      </c>
      <c r="Q30">
        <f>IF(Instr_curr_Scale=8,IF(Instr_curr_Step&lt;&gt;0,LOOKUP(Instr_curr_Step,InstrSteps,Q29),0),0)</f>
        <v>0</v>
      </c>
      <c r="R30">
        <f>IF(Instr_curr_Scale=9,IF(Instr_curr_Step&lt;&gt;0,LOOKUP(Instr_curr_Step,InstrSteps,R29),0),0)</f>
        <v>0</v>
      </c>
    </row>
    <row r="31" spans="1:27">
      <c r="A31" t="s">
        <v>83</v>
      </c>
      <c r="B31">
        <f>IF(AND(Associate="",Prof="",Assistant=""),Scale,0)</f>
        <v>0</v>
      </c>
    </row>
    <row r="32" spans="1:27" ht="13" thickBot="1">
      <c r="A32" s="46" t="s">
        <v>28</v>
      </c>
      <c r="C32" s="203" t="s">
        <v>2</v>
      </c>
      <c r="D32" s="204">
        <v>1</v>
      </c>
      <c r="E32" s="204">
        <v>2</v>
      </c>
      <c r="F32" s="204">
        <v>3</v>
      </c>
      <c r="G32" s="204">
        <v>4</v>
      </c>
      <c r="H32" s="204">
        <v>5</v>
      </c>
      <c r="I32" s="204">
        <v>6</v>
      </c>
      <c r="J32" s="204">
        <v>7</v>
      </c>
      <c r="K32" s="204">
        <v>8</v>
      </c>
      <c r="L32" s="185">
        <v>9</v>
      </c>
      <c r="M32" s="199">
        <v>4</v>
      </c>
      <c r="N32" s="199">
        <v>5</v>
      </c>
      <c r="O32" s="199">
        <v>6</v>
      </c>
      <c r="P32" s="199">
        <v>7</v>
      </c>
      <c r="Q32" s="199">
        <v>8</v>
      </c>
      <c r="R32" s="193">
        <v>9</v>
      </c>
    </row>
    <row r="33" spans="1:19">
      <c r="A33" s="15" t="s">
        <v>23</v>
      </c>
      <c r="B33" s="22">
        <v>1</v>
      </c>
      <c r="C33" s="182">
        <f t="shared" ref="C33:C38" si="0">C5</f>
        <v>63600</v>
      </c>
      <c r="D33" s="190">
        <f t="shared" ref="D33:D38" si="1">E5</f>
        <v>6400</v>
      </c>
      <c r="E33" s="190">
        <f t="shared" ref="E33:E38" si="2">G5</f>
        <v>12700</v>
      </c>
      <c r="F33" s="190">
        <f t="shared" ref="F33:F38" si="3">I5</f>
        <v>19100</v>
      </c>
      <c r="G33" s="190">
        <f t="shared" ref="G33:G38" si="4">K5</f>
        <v>19100</v>
      </c>
      <c r="H33" s="190">
        <f t="shared" ref="H33:H38" si="5">N5</f>
        <v>19100</v>
      </c>
      <c r="I33" s="190">
        <f t="shared" ref="I33:I38" si="6">Q5</f>
        <v>19100</v>
      </c>
      <c r="J33" s="401">
        <f t="shared" ref="J33:J38" si="7">T5</f>
        <v>19100</v>
      </c>
      <c r="K33" s="190">
        <f t="shared" ref="K33:K38" si="8">W5</f>
        <v>19100</v>
      </c>
      <c r="L33" s="205">
        <f t="shared" ref="L33:L38" si="9">Z5</f>
        <v>19100</v>
      </c>
      <c r="M33" s="404">
        <f t="shared" ref="M33:M38" si="10">L5</f>
        <v>6300</v>
      </c>
      <c r="N33" s="200">
        <f t="shared" ref="N33:N38" si="11">O5</f>
        <v>12700</v>
      </c>
      <c r="O33" s="200">
        <f t="shared" ref="O33:O38" si="12">R5</f>
        <v>22200</v>
      </c>
      <c r="P33" s="200">
        <f t="shared" ref="P33:P38" si="13">U5</f>
        <v>31800</v>
      </c>
      <c r="Q33" s="200">
        <f t="shared" ref="Q33:Q38" si="14">X5</f>
        <v>44500</v>
      </c>
      <c r="R33" s="196">
        <f t="shared" ref="R33:R38" si="15">AA5</f>
        <v>60400</v>
      </c>
      <c r="S33" s="407"/>
    </row>
    <row r="34" spans="1:19">
      <c r="A34" s="17"/>
      <c r="B34" s="23">
        <v>2</v>
      </c>
      <c r="C34" s="183">
        <f t="shared" si="0"/>
        <v>67400</v>
      </c>
      <c r="D34" s="191">
        <f t="shared" si="1"/>
        <v>6700</v>
      </c>
      <c r="E34" s="191">
        <f t="shared" si="2"/>
        <v>13500</v>
      </c>
      <c r="F34" s="191">
        <f t="shared" si="3"/>
        <v>20200</v>
      </c>
      <c r="G34" s="191">
        <f t="shared" si="4"/>
        <v>20200</v>
      </c>
      <c r="H34" s="191">
        <f t="shared" si="5"/>
        <v>20200</v>
      </c>
      <c r="I34" s="191">
        <f t="shared" si="6"/>
        <v>20200</v>
      </c>
      <c r="J34" s="402">
        <f t="shared" si="7"/>
        <v>20200</v>
      </c>
      <c r="K34" s="191">
        <f t="shared" si="8"/>
        <v>20200</v>
      </c>
      <c r="L34" s="207">
        <f t="shared" si="9"/>
        <v>20200</v>
      </c>
      <c r="M34" s="405">
        <f t="shared" si="10"/>
        <v>6800</v>
      </c>
      <c r="N34" s="201">
        <f t="shared" si="11"/>
        <v>13500</v>
      </c>
      <c r="O34" s="201">
        <f t="shared" si="12"/>
        <v>23600</v>
      </c>
      <c r="P34" s="201">
        <f t="shared" si="13"/>
        <v>33700</v>
      </c>
      <c r="Q34" s="201">
        <f t="shared" si="14"/>
        <v>47200</v>
      </c>
      <c r="R34" s="197">
        <f t="shared" si="15"/>
        <v>64100</v>
      </c>
      <c r="S34" s="408"/>
    </row>
    <row r="35" spans="1:19">
      <c r="A35" s="17"/>
      <c r="B35" s="23">
        <v>3</v>
      </c>
      <c r="C35" s="183">
        <f t="shared" si="0"/>
        <v>71100</v>
      </c>
      <c r="D35" s="191">
        <f t="shared" si="1"/>
        <v>7100</v>
      </c>
      <c r="E35" s="191">
        <f t="shared" si="2"/>
        <v>14200</v>
      </c>
      <c r="F35" s="191">
        <f t="shared" si="3"/>
        <v>21300</v>
      </c>
      <c r="G35" s="191">
        <f t="shared" si="4"/>
        <v>21300</v>
      </c>
      <c r="H35" s="191">
        <f t="shared" si="5"/>
        <v>21300</v>
      </c>
      <c r="I35" s="191">
        <f t="shared" si="6"/>
        <v>21300</v>
      </c>
      <c r="J35" s="402">
        <f t="shared" si="7"/>
        <v>21300</v>
      </c>
      <c r="K35" s="191">
        <f t="shared" si="8"/>
        <v>21300</v>
      </c>
      <c r="L35" s="207">
        <f t="shared" si="9"/>
        <v>21300</v>
      </c>
      <c r="M35" s="405">
        <f t="shared" si="10"/>
        <v>7100</v>
      </c>
      <c r="N35" s="201">
        <f t="shared" si="11"/>
        <v>14300</v>
      </c>
      <c r="O35" s="201">
        <f t="shared" si="12"/>
        <v>24900</v>
      </c>
      <c r="P35" s="201">
        <f t="shared" si="13"/>
        <v>35600</v>
      </c>
      <c r="Q35" s="201">
        <f t="shared" si="14"/>
        <v>49800</v>
      </c>
      <c r="R35" s="197">
        <f t="shared" si="15"/>
        <v>67600</v>
      </c>
      <c r="S35" s="408"/>
    </row>
    <row r="36" spans="1:19">
      <c r="A36" s="17"/>
      <c r="B36" s="23">
        <v>4</v>
      </c>
      <c r="C36" s="183">
        <f t="shared" si="0"/>
        <v>75200</v>
      </c>
      <c r="D36" s="191">
        <f t="shared" si="1"/>
        <v>7500</v>
      </c>
      <c r="E36" s="191">
        <f t="shared" si="2"/>
        <v>15000</v>
      </c>
      <c r="F36" s="191">
        <f t="shared" si="3"/>
        <v>22600</v>
      </c>
      <c r="G36" s="191">
        <f t="shared" si="4"/>
        <v>22600</v>
      </c>
      <c r="H36" s="191">
        <f t="shared" si="5"/>
        <v>22600</v>
      </c>
      <c r="I36" s="191">
        <f t="shared" si="6"/>
        <v>22600</v>
      </c>
      <c r="J36" s="402">
        <f t="shared" si="7"/>
        <v>22600</v>
      </c>
      <c r="K36" s="191">
        <f t="shared" si="8"/>
        <v>22600</v>
      </c>
      <c r="L36" s="207">
        <f t="shared" si="9"/>
        <v>22600</v>
      </c>
      <c r="M36" s="405">
        <f t="shared" si="10"/>
        <v>7500</v>
      </c>
      <c r="N36" s="201">
        <f t="shared" si="11"/>
        <v>15000</v>
      </c>
      <c r="O36" s="201">
        <f t="shared" si="12"/>
        <v>26300</v>
      </c>
      <c r="P36" s="201">
        <f t="shared" si="13"/>
        <v>37600</v>
      </c>
      <c r="Q36" s="201">
        <f t="shared" si="14"/>
        <v>52600</v>
      </c>
      <c r="R36" s="197">
        <f t="shared" si="15"/>
        <v>71400</v>
      </c>
      <c r="S36" s="408"/>
    </row>
    <row r="37" spans="1:19">
      <c r="A37" s="17"/>
      <c r="B37" s="23">
        <v>5</v>
      </c>
      <c r="C37" s="183">
        <f t="shared" si="0"/>
        <v>78900</v>
      </c>
      <c r="D37" s="191">
        <f t="shared" si="1"/>
        <v>7900</v>
      </c>
      <c r="E37" s="191">
        <f t="shared" si="2"/>
        <v>15800</v>
      </c>
      <c r="F37" s="191">
        <f t="shared" si="3"/>
        <v>23700</v>
      </c>
      <c r="G37" s="191">
        <f t="shared" si="4"/>
        <v>23700</v>
      </c>
      <c r="H37" s="191">
        <f t="shared" si="5"/>
        <v>23700</v>
      </c>
      <c r="I37" s="191">
        <f t="shared" si="6"/>
        <v>23700</v>
      </c>
      <c r="J37" s="402">
        <f t="shared" si="7"/>
        <v>23700</v>
      </c>
      <c r="K37" s="191">
        <f t="shared" si="8"/>
        <v>23700</v>
      </c>
      <c r="L37" s="207">
        <f t="shared" si="9"/>
        <v>23700</v>
      </c>
      <c r="M37" s="405">
        <f t="shared" si="10"/>
        <v>7900</v>
      </c>
      <c r="N37" s="201">
        <f t="shared" si="11"/>
        <v>15800</v>
      </c>
      <c r="O37" s="201">
        <f t="shared" si="12"/>
        <v>27600</v>
      </c>
      <c r="P37" s="201">
        <f t="shared" si="13"/>
        <v>39400</v>
      </c>
      <c r="Q37" s="201">
        <f t="shared" si="14"/>
        <v>55200</v>
      </c>
      <c r="R37" s="197">
        <f t="shared" si="15"/>
        <v>74900</v>
      </c>
      <c r="S37" s="408"/>
    </row>
    <row r="38" spans="1:19" ht="13" thickBot="1">
      <c r="A38" s="19"/>
      <c r="B38" s="24">
        <v>6</v>
      </c>
      <c r="C38" s="184">
        <f t="shared" si="0"/>
        <v>82700</v>
      </c>
      <c r="D38" s="192">
        <f t="shared" si="1"/>
        <v>8300</v>
      </c>
      <c r="E38" s="192">
        <f t="shared" si="2"/>
        <v>16500</v>
      </c>
      <c r="F38" s="192">
        <f t="shared" si="3"/>
        <v>24800</v>
      </c>
      <c r="G38" s="192">
        <f t="shared" si="4"/>
        <v>24800</v>
      </c>
      <c r="H38" s="192">
        <f t="shared" si="5"/>
        <v>24800</v>
      </c>
      <c r="I38" s="192">
        <f t="shared" si="6"/>
        <v>24800</v>
      </c>
      <c r="J38" s="403">
        <f t="shared" si="7"/>
        <v>24800</v>
      </c>
      <c r="K38" s="192">
        <f t="shared" si="8"/>
        <v>24800</v>
      </c>
      <c r="L38" s="209">
        <f t="shared" si="9"/>
        <v>24800</v>
      </c>
      <c r="M38" s="406">
        <f t="shared" si="10"/>
        <v>8300</v>
      </c>
      <c r="N38" s="202">
        <f t="shared" si="11"/>
        <v>16600</v>
      </c>
      <c r="O38" s="202">
        <f t="shared" si="12"/>
        <v>29000</v>
      </c>
      <c r="P38" s="202">
        <f t="shared" si="13"/>
        <v>41400</v>
      </c>
      <c r="Q38" s="202">
        <f t="shared" si="14"/>
        <v>57900</v>
      </c>
      <c r="R38" s="198">
        <f t="shared" si="15"/>
        <v>78600</v>
      </c>
      <c r="S38" s="409"/>
    </row>
    <row r="39" spans="1:19">
      <c r="D39">
        <f>IF(Asst_curr_scale=1,IF(Asst_curr_step&lt;&gt;0,LOOKUP(Asst_curr_step,AsstSteps,_HST1),0),0)</f>
        <v>0</v>
      </c>
      <c r="E39">
        <f>IF(Asst_curr_scale=2,IF(Asst_curr_step&lt;&gt;0,LOOKUP(Asst_curr_step,AsstSteps,_HST2),0),0)</f>
        <v>0</v>
      </c>
      <c r="F39">
        <f>IF(Asst_curr_scale=3,IF(Asst_curr_step&lt;&gt;0,LOOKUP(Asst_curr_step,AsstSteps,_HST3),0),0)</f>
        <v>0</v>
      </c>
      <c r="G39">
        <f>IF(Asst_curr_scale=4,IF(Asst_curr_step&lt;&gt;0,LOOKUP(Asst_curr_step,AsstSteps,_HST4),0),0)</f>
        <v>0</v>
      </c>
      <c r="H39">
        <f>IF(Asst_curr_scale=5,IF(Asst_curr_step&lt;&gt;0,LOOKUP(Asst_curr_step,AsstSteps,_HST5),0),0)</f>
        <v>0</v>
      </c>
      <c r="I39">
        <f>IF(Asst_curr_scale=6,IF(Asst_curr_step&lt;&gt;0,LOOKUP(Asst_curr_step,AsstSteps,_HST6),0),0)</f>
        <v>0</v>
      </c>
      <c r="J39">
        <f>IF(Asst_curr_scale=7,IF(Asst_curr_step&lt;&gt;0,LOOKUP(Asst_curr_step,AsstSteps,_HST7),0),0)</f>
        <v>0</v>
      </c>
      <c r="K39">
        <f>IF(Asst_curr_scale=8,IF(Asst_curr_step&lt;&gt;0,LOOKUP(Asst_curr_step,AsstSteps,K33:K38),0),0)</f>
        <v>0</v>
      </c>
      <c r="L39">
        <f>IF(Asst_curr_scale=9,IF(Asst_curr_step&lt;&gt;0,LOOKUP(Asst_curr_step,AsstSteps,L33:L38),0),0)</f>
        <v>0</v>
      </c>
      <c r="M39">
        <f>IF(Asst_curr_scale=4,IF(Asst_curr_step&lt;&gt;0,LOOKUP(Asst_curr_step,AsstSteps,M33:M38),0),0)</f>
        <v>0</v>
      </c>
      <c r="N39">
        <f>IF(Asst_curr_scale=5,IF(Asst_curr_step&lt;&gt;0,LOOKUP(Asst_curr_step,AsstSteps,N33:N38),0),0)</f>
        <v>0</v>
      </c>
      <c r="O39">
        <f>IF(Asst_curr_scale=6,IF(Asst_curr_step&lt;&gt;0,LOOKUP(Asst_curr_step,AsstSteps,O33:O38),0),0)</f>
        <v>0</v>
      </c>
      <c r="P39">
        <f>IF(Asst_curr_scale=7,IF(Asst_curr_step&lt;&gt;0,LOOKUP(Asst_curr_step,AsstSteps,P33:P38),0),0)</f>
        <v>0</v>
      </c>
      <c r="Q39">
        <f>IF(Asst_curr_scale=8,IF(Asst_curr_step&lt;&gt;0,LOOKUP(Asst_curr_step,AsstSteps,Q33:Q38),0),0)</f>
        <v>0</v>
      </c>
      <c r="R39">
        <f>IF(Asst_curr_scale=9,IF(Asst_curr_step&lt;&gt;0,LOOKUP(Asst_curr_step,AsstSteps,R33:R38),0),0)</f>
        <v>0</v>
      </c>
    </row>
    <row r="40" spans="1:19">
      <c r="A40" t="s">
        <v>29</v>
      </c>
      <c r="B40">
        <f>OnScaleCalc!E33</f>
        <v>0</v>
      </c>
    </row>
    <row r="41" spans="1:19">
      <c r="A41" t="s">
        <v>1</v>
      </c>
      <c r="B41">
        <f>IF(AND(Associate="",Prof="",Instructor=""),Scale,0)</f>
        <v>0</v>
      </c>
    </row>
    <row r="44" spans="1:19" ht="13" thickBot="1">
      <c r="A44" s="46" t="s">
        <v>28</v>
      </c>
      <c r="C44" s="203" t="s">
        <v>2</v>
      </c>
      <c r="D44" s="204">
        <v>1</v>
      </c>
      <c r="E44" s="204">
        <v>2</v>
      </c>
      <c r="F44" s="204">
        <v>3</v>
      </c>
      <c r="G44" s="204">
        <v>4</v>
      </c>
      <c r="H44" s="204">
        <v>5</v>
      </c>
      <c r="I44" s="204">
        <v>6</v>
      </c>
      <c r="J44" s="204">
        <v>7</v>
      </c>
      <c r="K44" s="204">
        <v>8</v>
      </c>
      <c r="L44" s="185">
        <v>9</v>
      </c>
      <c r="M44" s="199">
        <v>4</v>
      </c>
      <c r="N44" s="199">
        <v>5</v>
      </c>
      <c r="O44" s="199">
        <v>6</v>
      </c>
      <c r="P44" s="199">
        <v>7</v>
      </c>
      <c r="Q44" s="199">
        <v>8</v>
      </c>
      <c r="R44" s="199">
        <v>9</v>
      </c>
    </row>
    <row r="45" spans="1:19">
      <c r="A45" s="15" t="s">
        <v>24</v>
      </c>
      <c r="B45" s="22">
        <v>1</v>
      </c>
      <c r="C45" s="182">
        <f>C11</f>
        <v>79000</v>
      </c>
      <c r="D45" s="190">
        <f>E11</f>
        <v>7900</v>
      </c>
      <c r="E45" s="190">
        <f>G11</f>
        <v>15800</v>
      </c>
      <c r="F45" s="190">
        <f>I11</f>
        <v>23700</v>
      </c>
      <c r="G45" s="190">
        <f>K11</f>
        <v>23700</v>
      </c>
      <c r="H45" s="190">
        <f>N11</f>
        <v>23700</v>
      </c>
      <c r="I45" s="206">
        <f>Q11</f>
        <v>23700</v>
      </c>
      <c r="J45" s="190">
        <f>T11</f>
        <v>23700</v>
      </c>
      <c r="K45" s="190">
        <f>W11</f>
        <v>23700</v>
      </c>
      <c r="L45" s="205">
        <f>Z11</f>
        <v>23700</v>
      </c>
      <c r="M45" s="404">
        <f>L11</f>
        <v>7900</v>
      </c>
      <c r="N45" s="200">
        <f>O11</f>
        <v>15800</v>
      </c>
      <c r="O45" s="200">
        <f>R11</f>
        <v>27700</v>
      </c>
      <c r="P45" s="200">
        <f>U11</f>
        <v>39500</v>
      </c>
      <c r="Q45" s="200">
        <f>X11</f>
        <v>55300</v>
      </c>
      <c r="R45" s="196">
        <f>AA11</f>
        <v>75100</v>
      </c>
      <c r="S45" s="407"/>
    </row>
    <row r="46" spans="1:19">
      <c r="A46" s="17"/>
      <c r="B46" s="23">
        <v>2</v>
      </c>
      <c r="C46" s="183">
        <f>C12</f>
        <v>82800</v>
      </c>
      <c r="D46" s="191">
        <f>E12</f>
        <v>8300</v>
      </c>
      <c r="E46" s="191">
        <f>G12</f>
        <v>16600</v>
      </c>
      <c r="F46" s="191">
        <f>I12</f>
        <v>24800</v>
      </c>
      <c r="G46" s="191">
        <f>K12</f>
        <v>24800</v>
      </c>
      <c r="H46" s="191">
        <f>N12</f>
        <v>24800</v>
      </c>
      <c r="I46" s="208">
        <f>Q12</f>
        <v>24800</v>
      </c>
      <c r="J46" s="191">
        <f>T12</f>
        <v>24800</v>
      </c>
      <c r="K46" s="191">
        <f>W12</f>
        <v>24800</v>
      </c>
      <c r="L46" s="207">
        <f>Z12</f>
        <v>24800</v>
      </c>
      <c r="M46" s="405">
        <f>L12</f>
        <v>8300</v>
      </c>
      <c r="N46" s="201">
        <f>O12</f>
        <v>16600</v>
      </c>
      <c r="O46" s="201">
        <f>R12</f>
        <v>29000</v>
      </c>
      <c r="P46" s="201">
        <f>U12</f>
        <v>41400</v>
      </c>
      <c r="Q46" s="201">
        <f>X12</f>
        <v>58000</v>
      </c>
      <c r="R46" s="197">
        <f>AA12</f>
        <v>78700</v>
      </c>
      <c r="S46" s="408"/>
    </row>
    <row r="47" spans="1:19">
      <c r="A47" s="17"/>
      <c r="B47" s="23">
        <v>3</v>
      </c>
      <c r="C47" s="183">
        <f>C13</f>
        <v>87400</v>
      </c>
      <c r="D47" s="191">
        <f>E13</f>
        <v>8700</v>
      </c>
      <c r="E47" s="191">
        <f>G13</f>
        <v>17500</v>
      </c>
      <c r="F47" s="191">
        <f>I13</f>
        <v>26200</v>
      </c>
      <c r="G47" s="191">
        <f>K13</f>
        <v>26200</v>
      </c>
      <c r="H47" s="191">
        <f>N13</f>
        <v>26200</v>
      </c>
      <c r="I47" s="208">
        <f>Q13</f>
        <v>26200</v>
      </c>
      <c r="J47" s="191">
        <f>T13</f>
        <v>26200</v>
      </c>
      <c r="K47" s="191">
        <f>W13</f>
        <v>26200</v>
      </c>
      <c r="L47" s="207">
        <f>Z13</f>
        <v>26200</v>
      </c>
      <c r="M47" s="405">
        <f>L13</f>
        <v>8800</v>
      </c>
      <c r="N47" s="201">
        <f>O13</f>
        <v>17500</v>
      </c>
      <c r="O47" s="201">
        <f>R13</f>
        <v>30600</v>
      </c>
      <c r="P47" s="201">
        <f>U13</f>
        <v>43700</v>
      </c>
      <c r="Q47" s="201">
        <f>X13</f>
        <v>61200</v>
      </c>
      <c r="R47" s="197">
        <f>AA13</f>
        <v>83100</v>
      </c>
      <c r="S47" s="408"/>
    </row>
    <row r="48" spans="1:19">
      <c r="A48" s="17"/>
      <c r="B48" s="23">
        <v>4</v>
      </c>
      <c r="C48" s="183">
        <f>C14</f>
        <v>92800</v>
      </c>
      <c r="D48" s="191">
        <f>E14</f>
        <v>9300</v>
      </c>
      <c r="E48" s="191">
        <f>G14</f>
        <v>18600</v>
      </c>
      <c r="F48" s="191">
        <f>I14</f>
        <v>27800</v>
      </c>
      <c r="G48" s="191">
        <f>K14</f>
        <v>27800</v>
      </c>
      <c r="H48" s="191">
        <f>N14</f>
        <v>27800</v>
      </c>
      <c r="I48" s="208">
        <f>Q14</f>
        <v>27800</v>
      </c>
      <c r="J48" s="191">
        <f>T14</f>
        <v>27800</v>
      </c>
      <c r="K48" s="191">
        <f>W14</f>
        <v>27800</v>
      </c>
      <c r="L48" s="207">
        <f>Z14</f>
        <v>27800</v>
      </c>
      <c r="M48" s="405">
        <f>L14</f>
        <v>9300</v>
      </c>
      <c r="N48" s="201">
        <f>O14</f>
        <v>18600</v>
      </c>
      <c r="O48" s="201">
        <f>R14</f>
        <v>32500</v>
      </c>
      <c r="P48" s="201">
        <f>U14</f>
        <v>46400</v>
      </c>
      <c r="Q48" s="201">
        <f>X14</f>
        <v>65000</v>
      </c>
      <c r="R48" s="197">
        <f>AA14</f>
        <v>88200</v>
      </c>
      <c r="S48" s="408"/>
    </row>
    <row r="49" spans="1:19" ht="13" thickBot="1">
      <c r="A49" s="19"/>
      <c r="B49" s="24">
        <v>5</v>
      </c>
      <c r="C49" s="184">
        <f>C15</f>
        <v>100000</v>
      </c>
      <c r="D49" s="192">
        <f>E15</f>
        <v>10000</v>
      </c>
      <c r="E49" s="192">
        <f>G15</f>
        <v>20000</v>
      </c>
      <c r="F49" s="192">
        <f>I15</f>
        <v>30000</v>
      </c>
      <c r="G49" s="192">
        <f>K15</f>
        <v>30000</v>
      </c>
      <c r="H49" s="192">
        <f>N15</f>
        <v>30000</v>
      </c>
      <c r="I49" s="210">
        <f>Q15</f>
        <v>30000</v>
      </c>
      <c r="J49" s="192">
        <f>T15</f>
        <v>30000</v>
      </c>
      <c r="K49" s="192">
        <f>W15</f>
        <v>30000</v>
      </c>
      <c r="L49" s="209">
        <f>Z15</f>
        <v>30000</v>
      </c>
      <c r="M49" s="406">
        <f>L15</f>
        <v>10000</v>
      </c>
      <c r="N49" s="202">
        <f>O15</f>
        <v>20000</v>
      </c>
      <c r="O49" s="202">
        <f>R15</f>
        <v>35000</v>
      </c>
      <c r="P49" s="202">
        <f>U15</f>
        <v>50000</v>
      </c>
      <c r="Q49" s="202">
        <f>X15</f>
        <v>70000</v>
      </c>
      <c r="R49" s="198">
        <f>AA15</f>
        <v>95000</v>
      </c>
      <c r="S49" s="409"/>
    </row>
    <row r="50" spans="1:19">
      <c r="C50" s="203"/>
      <c r="D50" s="203">
        <f>IF(Assoc_curr_scale=1,IF(Assoc_curr_step&lt;&gt;0,LOOKUP(Assoc_curr_step,AssocSteps,HST1_AP),0),0)</f>
        <v>0</v>
      </c>
      <c r="E50" s="203">
        <f>IF(Assoc_curr_scale=2,IF(Assoc_curr_step&lt;&gt;0,LOOKUP(Assoc_curr_step,AssocSteps,HST2_AP),0),0)</f>
        <v>0</v>
      </c>
      <c r="F50" s="203">
        <f>IF(Assoc_curr_scale=3,IF(Assoc_curr_step&lt;&gt;0,LOOKUP(Assoc_curr_step,AssocSteps,HST3_AP),0),0)</f>
        <v>0</v>
      </c>
      <c r="G50" s="203">
        <f>IF(Assoc_curr_scale=4,IF(Assoc_curr_step&lt;&gt;0,LOOKUP(Assoc_curr_step,AssocSteps,HST4_AP),0),0)</f>
        <v>0</v>
      </c>
      <c r="H50" s="203">
        <f>IF(Assoc_curr_scale=5,IF(Assoc_curr_step&lt;&gt;0,LOOKUP(Assoc_curr_step,AssocSteps,HST5_AP),0),0)</f>
        <v>0</v>
      </c>
      <c r="I50" s="203">
        <f>IF(Assoc_curr_scale=6,IF(Assoc_curr_step&lt;&gt;0,LOOKUP(Assoc_curr_step,AssocSteps,HST6_AP),0),0)</f>
        <v>0</v>
      </c>
      <c r="J50" s="203">
        <f>IF(Assoc_curr_scale=7,IF(Assoc_curr_step&lt;&gt;0,LOOKUP(Assoc_curr_step,AssocSteps,HST7_AP),0),0)</f>
        <v>0</v>
      </c>
      <c r="K50" s="203">
        <f>IF(Assoc_curr_scale=8,IF(Assoc_curr_step&lt;&gt;0,LOOKUP(Assoc_curr_step,AssocSteps,K45:K49),0),0)</f>
        <v>0</v>
      </c>
      <c r="L50" s="203">
        <f>IF(Assoc_curr_scale=9,IF(Assoc_curr_step&lt;&gt;0,LOOKUP(Assoc_curr_step,AssocSteps,L45:L49),0),0)</f>
        <v>0</v>
      </c>
      <c r="M50" s="211">
        <f>IF(Assoc_curr_scale=4,IF(Assoc_curr_step&lt;&gt;0,LOOKUP(Assoc_curr_step,AssocSteps,M45:M49),0),0)</f>
        <v>0</v>
      </c>
      <c r="N50" s="211">
        <f>IF(Assoc_curr_scale=5,IF(Assoc_curr_step&lt;&gt;0,LOOKUP(Assoc_curr_step,AssocSteps,N45:N49),0),0)</f>
        <v>0</v>
      </c>
      <c r="O50" s="211">
        <f>IF(Assoc_curr_scale=6,IF(Assoc_curr_step&lt;&gt;0,LOOKUP(Assoc_curr_step,AssocSteps,O45:O49),0),0)</f>
        <v>0</v>
      </c>
      <c r="P50" s="211">
        <f>IF(Assoc_curr_scale=7,IF(Assoc_curr_step&lt;&gt;0,LOOKUP(Assoc_curr_step,AssocSteps,P45:P49),0),0)</f>
        <v>0</v>
      </c>
      <c r="Q50" s="211">
        <f>IF(Assoc_curr_scale=8,IF(Assoc_curr_step&lt;&gt;0,LOOKUP(Assoc_curr_step,AssocSteps,Q45:Q49),0),0)</f>
        <v>0</v>
      </c>
      <c r="R50" s="211">
        <f>IF(Assoc_curr_scale=9,IF(Assoc_curr_step&lt;&gt;0,LOOKUP(Assoc_curr_step,AssocSteps,R45:R49),0),0)</f>
        <v>0</v>
      </c>
    </row>
    <row r="51" spans="1:19">
      <c r="A51" t="s">
        <v>21</v>
      </c>
      <c r="B51">
        <f>OnScaleCalc!E34</f>
        <v>0</v>
      </c>
    </row>
    <row r="52" spans="1:19">
      <c r="A52" t="s">
        <v>19</v>
      </c>
      <c r="B52">
        <f>IF(AND(Assistant="",Prof="",Instructor=""),Scale,0)</f>
        <v>0</v>
      </c>
    </row>
    <row r="55" spans="1:19" ht="13" thickBot="1">
      <c r="A55" s="46" t="s">
        <v>28</v>
      </c>
      <c r="C55" s="203" t="s">
        <v>2</v>
      </c>
      <c r="D55" s="204">
        <v>1</v>
      </c>
      <c r="E55" s="204">
        <v>2</v>
      </c>
      <c r="F55" s="204">
        <v>3</v>
      </c>
      <c r="G55" s="204">
        <v>4</v>
      </c>
      <c r="H55" s="204">
        <v>5</v>
      </c>
      <c r="I55" s="204">
        <v>6</v>
      </c>
      <c r="J55" s="204">
        <v>7</v>
      </c>
      <c r="K55" s="204">
        <v>8</v>
      </c>
      <c r="L55" s="185">
        <v>9</v>
      </c>
      <c r="M55" s="199">
        <v>4</v>
      </c>
      <c r="N55" s="199">
        <v>5</v>
      </c>
      <c r="O55" s="199">
        <v>6</v>
      </c>
      <c r="P55" s="199">
        <v>7</v>
      </c>
      <c r="Q55" s="199">
        <v>8</v>
      </c>
      <c r="R55" s="193">
        <v>9</v>
      </c>
    </row>
    <row r="56" spans="1:19">
      <c r="A56" s="15" t="s">
        <v>25</v>
      </c>
      <c r="B56" s="22">
        <v>1</v>
      </c>
      <c r="C56" s="182">
        <f>C16</f>
        <v>92900</v>
      </c>
      <c r="D56" s="190">
        <f>E16</f>
        <v>9300</v>
      </c>
      <c r="E56" s="190">
        <f>G16</f>
        <v>18600</v>
      </c>
      <c r="F56" s="190">
        <f>I16</f>
        <v>27900</v>
      </c>
      <c r="G56" s="190">
        <f>K16</f>
        <v>27900</v>
      </c>
      <c r="H56" s="190">
        <f>N16</f>
        <v>27900</v>
      </c>
      <c r="I56" s="206">
        <f>Q16</f>
        <v>27900</v>
      </c>
      <c r="J56" s="190">
        <f>T16</f>
        <v>27900</v>
      </c>
      <c r="K56" s="190">
        <f>W16</f>
        <v>27900</v>
      </c>
      <c r="L56" s="205">
        <f>Z16</f>
        <v>27900</v>
      </c>
      <c r="M56" s="404">
        <f>L16</f>
        <v>9300</v>
      </c>
      <c r="N56" s="200">
        <f>O16</f>
        <v>18600</v>
      </c>
      <c r="O56" s="200">
        <f>R16</f>
        <v>32500</v>
      </c>
      <c r="P56" s="200">
        <f>U16</f>
        <v>46400</v>
      </c>
      <c r="Q56" s="200">
        <f>X16</f>
        <v>65000</v>
      </c>
      <c r="R56" s="196">
        <f>AA16</f>
        <v>88200</v>
      </c>
      <c r="S56" s="407"/>
    </row>
    <row r="57" spans="1:19">
      <c r="A57" s="17"/>
      <c r="B57" s="23">
        <v>2</v>
      </c>
      <c r="C57" s="183">
        <f t="shared" ref="C57:C64" si="16">C17</f>
        <v>100100</v>
      </c>
      <c r="D57" s="191">
        <f t="shared" ref="D57:D64" si="17">E17</f>
        <v>10000</v>
      </c>
      <c r="E57" s="191">
        <f t="shared" ref="E57:E63" si="18">G17</f>
        <v>20000</v>
      </c>
      <c r="F57" s="191">
        <f t="shared" ref="F57:F63" si="19">I17</f>
        <v>30000</v>
      </c>
      <c r="G57" s="191">
        <f t="shared" ref="G57:G63" si="20">K17</f>
        <v>30000</v>
      </c>
      <c r="H57" s="191">
        <f t="shared" ref="H57:H63" si="21">N17</f>
        <v>30000</v>
      </c>
      <c r="I57" s="208">
        <f t="shared" ref="I57:I63" si="22">Q17</f>
        <v>30000</v>
      </c>
      <c r="J57" s="191">
        <f t="shared" ref="J57:J63" si="23">T17</f>
        <v>30000</v>
      </c>
      <c r="K57" s="191">
        <f t="shared" ref="K57:K64" si="24">W17</f>
        <v>30000</v>
      </c>
      <c r="L57" s="207">
        <f t="shared" ref="L57:L64" si="25">Z17</f>
        <v>30000</v>
      </c>
      <c r="M57" s="405">
        <f t="shared" ref="M57:M64" si="26">L17</f>
        <v>10000</v>
      </c>
      <c r="N57" s="201">
        <f t="shared" ref="N57:N64" si="27">O17</f>
        <v>20100</v>
      </c>
      <c r="O57" s="201">
        <f t="shared" ref="O57:O64" si="28">R17</f>
        <v>35100</v>
      </c>
      <c r="P57" s="201">
        <f t="shared" ref="P57:P64" si="29">U17</f>
        <v>50100</v>
      </c>
      <c r="Q57" s="201">
        <f t="shared" ref="Q57:Q64" si="30">X17</f>
        <v>70100</v>
      </c>
      <c r="R57" s="197">
        <f t="shared" ref="R57:R64" si="31">AA17</f>
        <v>95100</v>
      </c>
      <c r="S57" s="408"/>
    </row>
    <row r="58" spans="1:19">
      <c r="A58" s="17"/>
      <c r="B58" s="23">
        <v>3</v>
      </c>
      <c r="C58" s="183">
        <f t="shared" si="16"/>
        <v>107400</v>
      </c>
      <c r="D58" s="191">
        <f t="shared" si="17"/>
        <v>10700</v>
      </c>
      <c r="E58" s="191">
        <f t="shared" si="18"/>
        <v>21500</v>
      </c>
      <c r="F58" s="191">
        <f t="shared" si="19"/>
        <v>32200</v>
      </c>
      <c r="G58" s="191">
        <f t="shared" si="20"/>
        <v>32200</v>
      </c>
      <c r="H58" s="191">
        <f t="shared" si="21"/>
        <v>32200</v>
      </c>
      <c r="I58" s="208">
        <f t="shared" si="22"/>
        <v>32200</v>
      </c>
      <c r="J58" s="191">
        <f t="shared" si="23"/>
        <v>32200</v>
      </c>
      <c r="K58" s="191">
        <f t="shared" si="24"/>
        <v>32200</v>
      </c>
      <c r="L58" s="207">
        <f t="shared" si="25"/>
        <v>32200</v>
      </c>
      <c r="M58" s="405">
        <f t="shared" si="26"/>
        <v>10800</v>
      </c>
      <c r="N58" s="201">
        <f t="shared" si="27"/>
        <v>21500</v>
      </c>
      <c r="O58" s="201">
        <f t="shared" si="28"/>
        <v>37600</v>
      </c>
      <c r="P58" s="201">
        <f t="shared" si="29"/>
        <v>53700</v>
      </c>
      <c r="Q58" s="201">
        <f t="shared" si="30"/>
        <v>75200</v>
      </c>
      <c r="R58" s="197">
        <f t="shared" si="31"/>
        <v>102100</v>
      </c>
      <c r="S58" s="408"/>
    </row>
    <row r="59" spans="1:19">
      <c r="A59" s="17"/>
      <c r="B59" s="23">
        <v>4</v>
      </c>
      <c r="C59" s="183">
        <f t="shared" si="16"/>
        <v>115200</v>
      </c>
      <c r="D59" s="191">
        <f t="shared" si="17"/>
        <v>11500</v>
      </c>
      <c r="E59" s="191">
        <f t="shared" si="18"/>
        <v>23000</v>
      </c>
      <c r="F59" s="191">
        <f t="shared" si="19"/>
        <v>34600</v>
      </c>
      <c r="G59" s="191">
        <f t="shared" si="20"/>
        <v>34600</v>
      </c>
      <c r="H59" s="191">
        <f t="shared" si="21"/>
        <v>34600</v>
      </c>
      <c r="I59" s="208">
        <f t="shared" si="22"/>
        <v>34600</v>
      </c>
      <c r="J59" s="191">
        <f t="shared" si="23"/>
        <v>34600</v>
      </c>
      <c r="K59" s="191">
        <f t="shared" si="24"/>
        <v>34600</v>
      </c>
      <c r="L59" s="207">
        <f t="shared" si="25"/>
        <v>34600</v>
      </c>
      <c r="M59" s="405">
        <f t="shared" si="26"/>
        <v>11500</v>
      </c>
      <c r="N59" s="201">
        <f t="shared" si="27"/>
        <v>23000</v>
      </c>
      <c r="O59" s="201">
        <f t="shared" si="28"/>
        <v>40300</v>
      </c>
      <c r="P59" s="201">
        <f t="shared" si="29"/>
        <v>57600</v>
      </c>
      <c r="Q59" s="201">
        <f t="shared" si="30"/>
        <v>80600</v>
      </c>
      <c r="R59" s="197">
        <f t="shared" si="31"/>
        <v>109400</v>
      </c>
      <c r="S59" s="408"/>
    </row>
    <row r="60" spans="1:19">
      <c r="A60" s="17"/>
      <c r="B60" s="23">
        <v>5</v>
      </c>
      <c r="C60" s="183">
        <f t="shared" si="16"/>
        <v>123400</v>
      </c>
      <c r="D60" s="191">
        <f t="shared" si="17"/>
        <v>12300</v>
      </c>
      <c r="E60" s="191">
        <f t="shared" si="18"/>
        <v>24700</v>
      </c>
      <c r="F60" s="191">
        <f t="shared" si="19"/>
        <v>37000</v>
      </c>
      <c r="G60" s="191">
        <f t="shared" si="20"/>
        <v>37000</v>
      </c>
      <c r="H60" s="191">
        <f t="shared" si="21"/>
        <v>37000</v>
      </c>
      <c r="I60" s="208">
        <f t="shared" si="22"/>
        <v>37000</v>
      </c>
      <c r="J60" s="191">
        <f t="shared" si="23"/>
        <v>37000</v>
      </c>
      <c r="K60" s="191">
        <f t="shared" si="24"/>
        <v>37000</v>
      </c>
      <c r="L60" s="207">
        <f t="shared" si="25"/>
        <v>37000</v>
      </c>
      <c r="M60" s="405">
        <f t="shared" si="26"/>
        <v>12400</v>
      </c>
      <c r="N60" s="201">
        <f t="shared" si="27"/>
        <v>24700</v>
      </c>
      <c r="O60" s="201">
        <f t="shared" si="28"/>
        <v>43200</v>
      </c>
      <c r="P60" s="201">
        <f t="shared" si="29"/>
        <v>61700</v>
      </c>
      <c r="Q60" s="201">
        <f t="shared" si="30"/>
        <v>86400</v>
      </c>
      <c r="R60" s="197">
        <f t="shared" si="31"/>
        <v>117300</v>
      </c>
      <c r="S60" s="408"/>
    </row>
    <row r="61" spans="1:19">
      <c r="A61" s="17"/>
      <c r="B61" s="23">
        <v>6</v>
      </c>
      <c r="C61" s="183">
        <f t="shared" si="16"/>
        <v>133600</v>
      </c>
      <c r="D61" s="191">
        <f t="shared" si="17"/>
        <v>13400</v>
      </c>
      <c r="E61" s="191">
        <f t="shared" si="18"/>
        <v>26700</v>
      </c>
      <c r="F61" s="191">
        <f t="shared" si="19"/>
        <v>40100</v>
      </c>
      <c r="G61" s="191">
        <f t="shared" si="20"/>
        <v>40100</v>
      </c>
      <c r="H61" s="191">
        <f t="shared" si="21"/>
        <v>40100</v>
      </c>
      <c r="I61" s="208">
        <f t="shared" si="22"/>
        <v>40100</v>
      </c>
      <c r="J61" s="191">
        <f t="shared" si="23"/>
        <v>40100</v>
      </c>
      <c r="K61" s="191">
        <f t="shared" si="24"/>
        <v>40100</v>
      </c>
      <c r="L61" s="207">
        <f t="shared" si="25"/>
        <v>40100</v>
      </c>
      <c r="M61" s="405">
        <f t="shared" si="26"/>
        <v>13300</v>
      </c>
      <c r="N61" s="201">
        <f t="shared" si="27"/>
        <v>26700</v>
      </c>
      <c r="O61" s="201">
        <f t="shared" si="28"/>
        <v>46700</v>
      </c>
      <c r="P61" s="201">
        <f t="shared" si="29"/>
        <v>66800</v>
      </c>
      <c r="Q61" s="201">
        <f t="shared" si="30"/>
        <v>93500</v>
      </c>
      <c r="R61" s="197">
        <f t="shared" si="31"/>
        <v>126900</v>
      </c>
      <c r="S61" s="408"/>
    </row>
    <row r="62" spans="1:19">
      <c r="A62" s="17"/>
      <c r="B62" s="23">
        <v>7</v>
      </c>
      <c r="C62" s="183">
        <f t="shared" si="16"/>
        <v>144600</v>
      </c>
      <c r="D62" s="191">
        <f t="shared" si="17"/>
        <v>14500</v>
      </c>
      <c r="E62" s="191">
        <f t="shared" si="18"/>
        <v>28900</v>
      </c>
      <c r="F62" s="191">
        <f t="shared" si="19"/>
        <v>43400</v>
      </c>
      <c r="G62" s="191">
        <f t="shared" si="20"/>
        <v>43400</v>
      </c>
      <c r="H62" s="191">
        <f t="shared" si="21"/>
        <v>43400</v>
      </c>
      <c r="I62" s="208">
        <f t="shared" si="22"/>
        <v>43400</v>
      </c>
      <c r="J62" s="191">
        <f t="shared" si="23"/>
        <v>43400</v>
      </c>
      <c r="K62" s="191">
        <f t="shared" si="24"/>
        <v>43400</v>
      </c>
      <c r="L62" s="207">
        <f t="shared" si="25"/>
        <v>43400</v>
      </c>
      <c r="M62" s="405">
        <f t="shared" si="26"/>
        <v>14400</v>
      </c>
      <c r="N62" s="201">
        <f t="shared" si="27"/>
        <v>28900</v>
      </c>
      <c r="O62" s="201">
        <f t="shared" si="28"/>
        <v>50600</v>
      </c>
      <c r="P62" s="201">
        <f t="shared" si="29"/>
        <v>72300</v>
      </c>
      <c r="Q62" s="201">
        <f t="shared" si="30"/>
        <v>101200</v>
      </c>
      <c r="R62" s="197">
        <f t="shared" si="31"/>
        <v>137400</v>
      </c>
      <c r="S62" s="408"/>
    </row>
    <row r="63" spans="1:19" ht="13" thickBot="1">
      <c r="A63" s="368"/>
      <c r="B63" s="23">
        <v>8</v>
      </c>
      <c r="C63" s="183">
        <f t="shared" si="16"/>
        <v>156600</v>
      </c>
      <c r="D63" s="191">
        <f t="shared" si="17"/>
        <v>15700</v>
      </c>
      <c r="E63" s="191">
        <f t="shared" si="18"/>
        <v>31300</v>
      </c>
      <c r="F63" s="191">
        <f t="shared" si="19"/>
        <v>47000</v>
      </c>
      <c r="G63" s="191">
        <f t="shared" si="20"/>
        <v>47000</v>
      </c>
      <c r="H63" s="191">
        <f t="shared" si="21"/>
        <v>47000</v>
      </c>
      <c r="I63" s="208">
        <f t="shared" si="22"/>
        <v>47000</v>
      </c>
      <c r="J63" s="191">
        <f t="shared" si="23"/>
        <v>47000</v>
      </c>
      <c r="K63" s="191">
        <f t="shared" si="24"/>
        <v>47000</v>
      </c>
      <c r="L63" s="207">
        <f t="shared" si="25"/>
        <v>47000</v>
      </c>
      <c r="M63" s="405">
        <f t="shared" si="26"/>
        <v>15600</v>
      </c>
      <c r="N63" s="201">
        <f t="shared" si="27"/>
        <v>31300</v>
      </c>
      <c r="O63" s="201">
        <f t="shared" si="28"/>
        <v>54800</v>
      </c>
      <c r="P63" s="201">
        <f t="shared" si="29"/>
        <v>78300</v>
      </c>
      <c r="Q63" s="201">
        <f t="shared" si="30"/>
        <v>109600</v>
      </c>
      <c r="R63" s="197">
        <f t="shared" si="31"/>
        <v>148800</v>
      </c>
      <c r="S63" s="409"/>
    </row>
    <row r="64" spans="1:19" ht="13" thickBot="1">
      <c r="A64" s="369"/>
      <c r="B64" s="369">
        <v>9</v>
      </c>
      <c r="C64" s="370">
        <f t="shared" si="16"/>
        <v>169600</v>
      </c>
      <c r="D64" s="371">
        <f t="shared" si="17"/>
        <v>17000</v>
      </c>
      <c r="E64" s="371">
        <f>G24</f>
        <v>33900</v>
      </c>
      <c r="F64" s="371">
        <f>I24</f>
        <v>50900</v>
      </c>
      <c r="G64" s="371">
        <f>K24</f>
        <v>50900</v>
      </c>
      <c r="H64" s="371">
        <f>N24</f>
        <v>50900</v>
      </c>
      <c r="I64" s="372">
        <f>Q24</f>
        <v>50900</v>
      </c>
      <c r="J64" s="192">
        <f>T24</f>
        <v>50900</v>
      </c>
      <c r="K64" s="192">
        <f t="shared" si="24"/>
        <v>50900</v>
      </c>
      <c r="L64" s="209">
        <f t="shared" si="25"/>
        <v>50900</v>
      </c>
      <c r="M64" s="406">
        <f t="shared" si="26"/>
        <v>16900</v>
      </c>
      <c r="N64" s="202">
        <f t="shared" si="27"/>
        <v>33900</v>
      </c>
      <c r="O64" s="202">
        <f t="shared" si="28"/>
        <v>59300</v>
      </c>
      <c r="P64" s="202">
        <f t="shared" si="29"/>
        <v>84800</v>
      </c>
      <c r="Q64" s="202">
        <f t="shared" si="30"/>
        <v>118700</v>
      </c>
      <c r="R64" s="198">
        <f t="shared" si="31"/>
        <v>161100</v>
      </c>
      <c r="S64" s="35"/>
    </row>
    <row r="65" spans="1:18">
      <c r="D65">
        <f>IF(Prof_curr_scale=1,IF(Prof_curr_step&lt;&gt;0,LOOKUP(Prof_curr_step,ProfSteps,HST1_P),0),0)</f>
        <v>0</v>
      </c>
      <c r="E65">
        <f>IF(Prof_curr_scale=2,IF(Prof_curr_step&lt;&gt;0,LOOKUP(Prof_curr_step,ProfSteps,HST2_P),0),0)</f>
        <v>0</v>
      </c>
      <c r="F65">
        <f>IF(Prof_curr_scale=3,IF(Prof_curr_step&lt;&gt;0,LOOKUP(Prof_curr_step,ProfSteps,HST3_P),0),0)</f>
        <v>30000</v>
      </c>
      <c r="G65">
        <f>IF(Prof_curr_scale=4,IF(Prof_curr_step&lt;&gt;0,LOOKUP(Prof_curr_step,ProfSteps,HST4_P),0),0)</f>
        <v>0</v>
      </c>
      <c r="H65">
        <f>IF(Prof_curr_scale=5,IF(Prof_curr_step&lt;&gt;0,LOOKUP(Prof_curr_step,ProfSteps,HST5_P),0),0)</f>
        <v>0</v>
      </c>
      <c r="I65">
        <f>IF(Prof_curr_scale=6,IF(Prof_curr_step&lt;&gt;0,LOOKUP(Prof_curr_step,ProfSteps,HST6_P),0),0)</f>
        <v>0</v>
      </c>
      <c r="J65">
        <f>IF(Prof_curr_scale=7,IF(Prof_curr_step&lt;&gt;0,LOOKUP(Prof_curr_step,ProfSteps,HST7_P),0),0)</f>
        <v>0</v>
      </c>
      <c r="K65">
        <f>IF(Prof_curr_scale=8,IF(Prof_curr_step&lt;&gt;0,LOOKUP(Prof_curr_step,ProfSteps,K56:K64),0),0)</f>
        <v>0</v>
      </c>
      <c r="L65">
        <f>IF(Prof_curr_scale=9,IF(Prof_curr_step&lt;&gt;0,LOOKUP(Prof_curr_step,ProfSteps,L56:L64),0),0)</f>
        <v>0</v>
      </c>
      <c r="M65">
        <f>IF(Prof_curr_scale=4,IF(Prof_curr_step&lt;&gt;0,LOOKUP(Prof_curr_step,ProfSteps,M56:M64),0),0)</f>
        <v>0</v>
      </c>
      <c r="N65">
        <f>IF(Prof_curr_scale=5,IF(Prof_curr_step&lt;&gt;0,LOOKUP(Prof_curr_step,ProfSteps,N56:N64),0),0)</f>
        <v>0</v>
      </c>
      <c r="O65">
        <f>IF(Prof_curr_scale=6,IF(Prof_curr_step&lt;&gt;0,LOOKUP(Prof_curr_step,ProfSteps,O56:O64),0),0)</f>
        <v>0</v>
      </c>
      <c r="P65">
        <f>IF(Prof_curr_scale=7,IF(Prof_curr_step&lt;&gt;0,LOOKUP(Prof_curr_step,ProfSteps,P56:P64),0),0)</f>
        <v>0</v>
      </c>
      <c r="Q65">
        <f>IF(Prof_curr_scale=8,IF(Prof_curr_step&lt;&gt;0,LOOKUP(Prof_curr_step,ProfSteps,Q56:Q64),0),0)</f>
        <v>0</v>
      </c>
      <c r="R65">
        <f>IF(Prof_curr_scale=9,IF(Prof_curr_step&lt;&gt;0,LOOKUP(Prof_curr_step,ProfSteps,R56:R64),0),0)</f>
        <v>0</v>
      </c>
    </row>
    <row r="66" spans="1:18">
      <c r="A66" t="s">
        <v>21</v>
      </c>
      <c r="B66">
        <f>OnScaleCalc!E35</f>
        <v>2</v>
      </c>
    </row>
    <row r="67" spans="1:18">
      <c r="A67" t="s">
        <v>19</v>
      </c>
      <c r="B67">
        <f>IF(AND(Assistant="",Associate="",Instructor=""),Scale,0)</f>
        <v>3</v>
      </c>
    </row>
  </sheetData>
  <sheetProtection password="C7E2" sheet="1" objects="1" scenarios="1"/>
  <mergeCells count="2">
    <mergeCell ref="J2:L2"/>
    <mergeCell ref="M2:O2"/>
  </mergeCells>
  <phoneticPr fontId="0" type="noConversion"/>
  <pageMargins left="0.25" right="0.25" top="1" bottom="1" header="0.5" footer="0.5"/>
  <pageSetup orientation="landscape" horizontalDpi="429496729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enableFormatConditionsCalculation="0"/>
  <dimension ref="A1:AA67"/>
  <sheetViews>
    <sheetView showGridLines="0" workbookViewId="0">
      <selection activeCell="D7" sqref="D7:E8"/>
    </sheetView>
  </sheetViews>
  <sheetFormatPr baseColWidth="10" defaultColWidth="8.83203125" defaultRowHeight="12" x14ac:dyDescent="0"/>
  <cols>
    <col min="2" max="2" width="5.6640625" customWidth="1"/>
    <col min="3" max="3" width="9.83203125" customWidth="1"/>
    <col min="4" max="4" width="9.33203125" customWidth="1"/>
    <col min="5" max="5" width="8.5" customWidth="1"/>
    <col min="6" max="6" width="8.1640625" customWidth="1"/>
    <col min="7" max="9" width="8.5" customWidth="1"/>
    <col min="10" max="10" width="8.83203125" bestFit="1" customWidth="1"/>
    <col min="11" max="11" width="9.33203125" bestFit="1" customWidth="1"/>
    <col min="12" max="12" width="9.5" bestFit="1" customWidth="1"/>
    <col min="14" max="14" width="9.33203125" bestFit="1" customWidth="1"/>
    <col min="15" max="15" width="9.5" bestFit="1" customWidth="1"/>
    <col min="16" max="16" width="8.83203125" bestFit="1" customWidth="1"/>
    <col min="17" max="17" width="9.33203125" bestFit="1" customWidth="1"/>
    <col min="18" max="18" width="8.5" customWidth="1"/>
    <col min="19" max="24" width="9.33203125" bestFit="1" customWidth="1"/>
  </cols>
  <sheetData>
    <row r="1" spans="1:27" ht="13" thickBot="1">
      <c r="I1" s="54"/>
    </row>
    <row r="2" spans="1:27" ht="13" thickBot="1">
      <c r="A2" s="174"/>
      <c r="B2" s="458" t="s">
        <v>52</v>
      </c>
      <c r="C2" s="459"/>
      <c r="D2" s="460" t="s">
        <v>53</v>
      </c>
      <c r="E2" s="461"/>
      <c r="F2" s="460" t="s">
        <v>54</v>
      </c>
      <c r="G2" s="461"/>
      <c r="H2" s="460" t="s">
        <v>55</v>
      </c>
      <c r="I2" s="461"/>
      <c r="J2" s="460" t="s">
        <v>56</v>
      </c>
      <c r="K2" s="462"/>
      <c r="L2" s="461"/>
      <c r="M2" s="460" t="s">
        <v>57</v>
      </c>
      <c r="N2" s="462"/>
      <c r="O2" s="461"/>
      <c r="P2" s="460"/>
      <c r="Q2" s="462" t="s">
        <v>58</v>
      </c>
      <c r="R2" s="461"/>
      <c r="S2" s="460"/>
      <c r="T2" s="462" t="s">
        <v>59</v>
      </c>
      <c r="U2" s="461"/>
      <c r="V2" s="464"/>
      <c r="W2" s="462" t="s">
        <v>123</v>
      </c>
      <c r="X2" s="461"/>
      <c r="Y2" s="465"/>
      <c r="Z2" s="462" t="s">
        <v>124</v>
      </c>
      <c r="AA2" s="461"/>
    </row>
    <row r="3" spans="1:27" ht="14" thickTop="1" thickBot="1">
      <c r="A3" s="175" t="s">
        <v>60</v>
      </c>
      <c r="B3" s="21" t="s">
        <v>61</v>
      </c>
      <c r="C3" s="180" t="s">
        <v>62</v>
      </c>
      <c r="D3" s="28" t="s">
        <v>53</v>
      </c>
      <c r="E3" s="185" t="s">
        <v>63</v>
      </c>
      <c r="F3" s="28" t="s">
        <v>54</v>
      </c>
      <c r="G3" s="185" t="s">
        <v>63</v>
      </c>
      <c r="H3" s="28" t="s">
        <v>55</v>
      </c>
      <c r="I3" s="185" t="s">
        <v>63</v>
      </c>
      <c r="J3" s="28" t="s">
        <v>56</v>
      </c>
      <c r="K3" s="187" t="s">
        <v>63</v>
      </c>
      <c r="L3" s="193" t="s">
        <v>64</v>
      </c>
      <c r="M3" s="28" t="s">
        <v>57</v>
      </c>
      <c r="N3" s="187" t="s">
        <v>63</v>
      </c>
      <c r="O3" s="193" t="s">
        <v>64</v>
      </c>
      <c r="P3" s="32" t="s">
        <v>58</v>
      </c>
      <c r="Q3" s="189" t="s">
        <v>63</v>
      </c>
      <c r="R3" s="195" t="s">
        <v>64</v>
      </c>
      <c r="S3" s="32" t="s">
        <v>59</v>
      </c>
      <c r="T3" s="189" t="s">
        <v>63</v>
      </c>
      <c r="U3" s="195" t="s">
        <v>64</v>
      </c>
      <c r="V3" s="410" t="s">
        <v>123</v>
      </c>
      <c r="W3" s="189" t="s">
        <v>63</v>
      </c>
      <c r="X3" s="195" t="s">
        <v>64</v>
      </c>
      <c r="Y3" s="393" t="s">
        <v>124</v>
      </c>
      <c r="Z3" s="189" t="s">
        <v>63</v>
      </c>
      <c r="AA3" s="195" t="s">
        <v>64</v>
      </c>
    </row>
    <row r="4" spans="1:27" ht="14" thickTop="1" thickBot="1">
      <c r="A4" s="176" t="s">
        <v>22</v>
      </c>
      <c r="B4" s="281" t="s">
        <v>85</v>
      </c>
      <c r="C4" s="484">
        <v>54800</v>
      </c>
      <c r="D4" s="485">
        <v>60300</v>
      </c>
      <c r="E4" s="486">
        <f t="shared" ref="E4:E24" si="0">D4-C4</f>
        <v>5500</v>
      </c>
      <c r="F4" s="485">
        <v>65800</v>
      </c>
      <c r="G4" s="487">
        <f t="shared" ref="G4:G22" si="1">F4-C4</f>
        <v>11000</v>
      </c>
      <c r="H4" s="485">
        <v>71200</v>
      </c>
      <c r="I4" s="487">
        <f t="shared" ref="I4:I22" si="2">H4-C4</f>
        <v>16400</v>
      </c>
      <c r="J4" s="485">
        <v>76700</v>
      </c>
      <c r="K4" s="488">
        <f t="shared" ref="K4:K23" si="3">I4</f>
        <v>16400</v>
      </c>
      <c r="L4" s="489">
        <f t="shared" ref="L4:L22" si="4">J4-H4</f>
        <v>5500</v>
      </c>
      <c r="M4" s="490">
        <v>82200</v>
      </c>
      <c r="N4" s="488">
        <f t="shared" ref="N4:N23" si="5">K4</f>
        <v>16400</v>
      </c>
      <c r="O4" s="489">
        <f>M4-H4</f>
        <v>11000</v>
      </c>
      <c r="P4" s="490">
        <v>90400</v>
      </c>
      <c r="Q4" s="488">
        <f t="shared" ref="Q4:Q23" si="6">N4</f>
        <v>16400</v>
      </c>
      <c r="R4" s="489">
        <f>P4-H4</f>
        <v>19200</v>
      </c>
      <c r="S4" s="490">
        <v>98600</v>
      </c>
      <c r="T4" s="488">
        <f>Q4</f>
        <v>16400</v>
      </c>
      <c r="U4" s="489">
        <f>S4-H4</f>
        <v>27400</v>
      </c>
      <c r="V4" s="490">
        <v>109600</v>
      </c>
      <c r="W4" s="488">
        <f>T4</f>
        <v>16400</v>
      </c>
      <c r="X4" s="489">
        <f>V4-H4</f>
        <v>38400</v>
      </c>
      <c r="Y4" s="490">
        <v>123300</v>
      </c>
      <c r="Z4" s="488">
        <f>W4</f>
        <v>16400</v>
      </c>
      <c r="AA4" s="489">
        <f>Y4-H4</f>
        <v>52100</v>
      </c>
    </row>
    <row r="5" spans="1:27">
      <c r="A5" s="177" t="s">
        <v>23</v>
      </c>
      <c r="B5" s="22">
        <v>1</v>
      </c>
      <c r="C5" s="491">
        <v>63600</v>
      </c>
      <c r="D5" s="492">
        <v>70000</v>
      </c>
      <c r="E5" s="493">
        <f t="shared" si="0"/>
        <v>6400</v>
      </c>
      <c r="F5" s="492">
        <v>76300</v>
      </c>
      <c r="G5" s="494">
        <f t="shared" si="1"/>
        <v>12700</v>
      </c>
      <c r="H5" s="492">
        <v>82700</v>
      </c>
      <c r="I5" s="494">
        <f t="shared" si="2"/>
        <v>19100</v>
      </c>
      <c r="J5" s="492">
        <v>89000</v>
      </c>
      <c r="K5" s="495">
        <f t="shared" si="3"/>
        <v>19100</v>
      </c>
      <c r="L5" s="496">
        <f t="shared" si="4"/>
        <v>6300</v>
      </c>
      <c r="M5" s="497">
        <v>95400</v>
      </c>
      <c r="N5" s="495">
        <f t="shared" si="5"/>
        <v>19100</v>
      </c>
      <c r="O5" s="496">
        <f t="shared" ref="O5:O20" si="7">M5-H5</f>
        <v>12700</v>
      </c>
      <c r="P5" s="497">
        <v>104900</v>
      </c>
      <c r="Q5" s="495">
        <f t="shared" si="6"/>
        <v>19100</v>
      </c>
      <c r="R5" s="496">
        <f>P5-H5</f>
        <v>22200</v>
      </c>
      <c r="S5" s="497">
        <v>114500</v>
      </c>
      <c r="T5" s="495">
        <f t="shared" ref="T5:T23" si="8">Q5</f>
        <v>19100</v>
      </c>
      <c r="U5" s="496">
        <f t="shared" ref="U5:U23" si="9">S5-H5</f>
        <v>31800</v>
      </c>
      <c r="V5" s="497">
        <v>127200</v>
      </c>
      <c r="W5" s="495">
        <f t="shared" ref="W5:W23" si="10">T5</f>
        <v>19100</v>
      </c>
      <c r="X5" s="496">
        <f t="shared" ref="X5:X24" si="11">V5-H5</f>
        <v>44500</v>
      </c>
      <c r="Y5" s="497">
        <v>143100</v>
      </c>
      <c r="Z5" s="495">
        <f t="shared" ref="Z5:Z23" si="12">W5</f>
        <v>19100</v>
      </c>
      <c r="AA5" s="496">
        <f t="shared" ref="AA5:AA24" si="13">Y5-H5</f>
        <v>60400</v>
      </c>
    </row>
    <row r="6" spans="1:27">
      <c r="A6" s="178"/>
      <c r="B6" s="23">
        <v>2</v>
      </c>
      <c r="C6" s="491">
        <v>67400</v>
      </c>
      <c r="D6" s="492">
        <v>74100</v>
      </c>
      <c r="E6" s="493">
        <f t="shared" si="0"/>
        <v>6700</v>
      </c>
      <c r="F6" s="492">
        <v>80900</v>
      </c>
      <c r="G6" s="494">
        <f t="shared" si="1"/>
        <v>13500</v>
      </c>
      <c r="H6" s="492">
        <v>87600</v>
      </c>
      <c r="I6" s="494">
        <f t="shared" si="2"/>
        <v>20200</v>
      </c>
      <c r="J6" s="492">
        <v>94400</v>
      </c>
      <c r="K6" s="495">
        <f t="shared" si="3"/>
        <v>20200</v>
      </c>
      <c r="L6" s="496">
        <f t="shared" si="4"/>
        <v>6800</v>
      </c>
      <c r="M6" s="497">
        <v>101100</v>
      </c>
      <c r="N6" s="495">
        <f t="shared" si="5"/>
        <v>20200</v>
      </c>
      <c r="O6" s="496">
        <f t="shared" si="7"/>
        <v>13500</v>
      </c>
      <c r="P6" s="497">
        <v>111200</v>
      </c>
      <c r="Q6" s="495">
        <f t="shared" si="6"/>
        <v>20200</v>
      </c>
      <c r="R6" s="496">
        <f t="shared" ref="R6:R20" si="14">P6-H6</f>
        <v>23600</v>
      </c>
      <c r="S6" s="497">
        <v>121300</v>
      </c>
      <c r="T6" s="495">
        <f t="shared" si="8"/>
        <v>20200</v>
      </c>
      <c r="U6" s="496">
        <f t="shared" si="9"/>
        <v>33700</v>
      </c>
      <c r="V6" s="497">
        <v>134800</v>
      </c>
      <c r="W6" s="495">
        <f t="shared" si="10"/>
        <v>20200</v>
      </c>
      <c r="X6" s="496">
        <f t="shared" si="11"/>
        <v>47200</v>
      </c>
      <c r="Y6" s="497">
        <v>151700</v>
      </c>
      <c r="Z6" s="495">
        <f t="shared" si="12"/>
        <v>20200</v>
      </c>
      <c r="AA6" s="496">
        <f t="shared" si="13"/>
        <v>64100</v>
      </c>
    </row>
    <row r="7" spans="1:27">
      <c r="A7" s="178"/>
      <c r="B7" s="23">
        <v>3</v>
      </c>
      <c r="C7" s="491">
        <v>71100</v>
      </c>
      <c r="D7" s="492">
        <v>78200</v>
      </c>
      <c r="E7" s="493">
        <f t="shared" si="0"/>
        <v>7100</v>
      </c>
      <c r="F7" s="492">
        <v>85300</v>
      </c>
      <c r="G7" s="494">
        <f t="shared" si="1"/>
        <v>14200</v>
      </c>
      <c r="H7" s="492">
        <v>92400</v>
      </c>
      <c r="I7" s="494">
        <f t="shared" si="2"/>
        <v>21300</v>
      </c>
      <c r="J7" s="492">
        <v>99500</v>
      </c>
      <c r="K7" s="495">
        <f t="shared" si="3"/>
        <v>21300</v>
      </c>
      <c r="L7" s="496">
        <f t="shared" si="4"/>
        <v>7100</v>
      </c>
      <c r="M7" s="497">
        <v>106700</v>
      </c>
      <c r="N7" s="495">
        <f t="shared" si="5"/>
        <v>21300</v>
      </c>
      <c r="O7" s="496">
        <f t="shared" si="7"/>
        <v>14300</v>
      </c>
      <c r="P7" s="497">
        <v>117300</v>
      </c>
      <c r="Q7" s="495">
        <f t="shared" si="6"/>
        <v>21300</v>
      </c>
      <c r="R7" s="496">
        <f t="shared" si="14"/>
        <v>24900</v>
      </c>
      <c r="S7" s="497">
        <v>128000</v>
      </c>
      <c r="T7" s="495">
        <f>Q7</f>
        <v>21300</v>
      </c>
      <c r="U7" s="496">
        <f t="shared" si="9"/>
        <v>35600</v>
      </c>
      <c r="V7" s="497">
        <v>142200</v>
      </c>
      <c r="W7" s="495">
        <f>T7</f>
        <v>21300</v>
      </c>
      <c r="X7" s="496">
        <f t="shared" si="11"/>
        <v>49800</v>
      </c>
      <c r="Y7" s="497">
        <v>160000</v>
      </c>
      <c r="Z7" s="495">
        <f t="shared" si="12"/>
        <v>21300</v>
      </c>
      <c r="AA7" s="496">
        <f t="shared" si="13"/>
        <v>67600</v>
      </c>
    </row>
    <row r="8" spans="1:27">
      <c r="A8" s="178"/>
      <c r="B8" s="23">
        <v>4</v>
      </c>
      <c r="C8" s="491">
        <v>75200</v>
      </c>
      <c r="D8" s="492">
        <v>82700</v>
      </c>
      <c r="E8" s="493">
        <f t="shared" si="0"/>
        <v>7500</v>
      </c>
      <c r="F8" s="492">
        <v>90200</v>
      </c>
      <c r="G8" s="494">
        <f t="shared" si="1"/>
        <v>15000</v>
      </c>
      <c r="H8" s="492">
        <v>97800</v>
      </c>
      <c r="I8" s="494">
        <f t="shared" si="2"/>
        <v>22600</v>
      </c>
      <c r="J8" s="492">
        <v>105300</v>
      </c>
      <c r="K8" s="495">
        <f t="shared" si="3"/>
        <v>22600</v>
      </c>
      <c r="L8" s="496">
        <f t="shared" si="4"/>
        <v>7500</v>
      </c>
      <c r="M8" s="497">
        <v>112800</v>
      </c>
      <c r="N8" s="495">
        <f t="shared" si="5"/>
        <v>22600</v>
      </c>
      <c r="O8" s="496">
        <f t="shared" si="7"/>
        <v>15000</v>
      </c>
      <c r="P8" s="497">
        <v>124100</v>
      </c>
      <c r="Q8" s="495">
        <f t="shared" si="6"/>
        <v>22600</v>
      </c>
      <c r="R8" s="496">
        <f t="shared" si="14"/>
        <v>26300</v>
      </c>
      <c r="S8" s="497">
        <v>135400</v>
      </c>
      <c r="T8" s="495">
        <f t="shared" si="8"/>
        <v>22600</v>
      </c>
      <c r="U8" s="496">
        <f t="shared" si="9"/>
        <v>37600</v>
      </c>
      <c r="V8" s="497">
        <v>150400</v>
      </c>
      <c r="W8" s="495">
        <f t="shared" si="10"/>
        <v>22600</v>
      </c>
      <c r="X8" s="496">
        <f t="shared" si="11"/>
        <v>52600</v>
      </c>
      <c r="Y8" s="497">
        <v>169200</v>
      </c>
      <c r="Z8" s="495">
        <f t="shared" si="12"/>
        <v>22600</v>
      </c>
      <c r="AA8" s="496">
        <f t="shared" si="13"/>
        <v>71400</v>
      </c>
    </row>
    <row r="9" spans="1:27">
      <c r="A9" s="178"/>
      <c r="B9" s="23">
        <v>5</v>
      </c>
      <c r="C9" s="491">
        <v>78900</v>
      </c>
      <c r="D9" s="492">
        <v>86800</v>
      </c>
      <c r="E9" s="493">
        <f t="shared" si="0"/>
        <v>7900</v>
      </c>
      <c r="F9" s="492">
        <v>94700</v>
      </c>
      <c r="G9" s="494">
        <f t="shared" si="1"/>
        <v>15800</v>
      </c>
      <c r="H9" s="492">
        <v>102600</v>
      </c>
      <c r="I9" s="494">
        <f t="shared" si="2"/>
        <v>23700</v>
      </c>
      <c r="J9" s="492">
        <v>110500</v>
      </c>
      <c r="K9" s="495">
        <f t="shared" si="3"/>
        <v>23700</v>
      </c>
      <c r="L9" s="496">
        <f t="shared" si="4"/>
        <v>7900</v>
      </c>
      <c r="M9" s="497">
        <v>118400</v>
      </c>
      <c r="N9" s="495">
        <f t="shared" si="5"/>
        <v>23700</v>
      </c>
      <c r="O9" s="496">
        <f t="shared" si="7"/>
        <v>15800</v>
      </c>
      <c r="P9" s="497">
        <v>130200</v>
      </c>
      <c r="Q9" s="495">
        <f t="shared" si="6"/>
        <v>23700</v>
      </c>
      <c r="R9" s="496">
        <f t="shared" si="14"/>
        <v>27600</v>
      </c>
      <c r="S9" s="497">
        <v>142000</v>
      </c>
      <c r="T9" s="495">
        <f t="shared" si="8"/>
        <v>23700</v>
      </c>
      <c r="U9" s="496">
        <f t="shared" si="9"/>
        <v>39400</v>
      </c>
      <c r="V9" s="497">
        <v>157800</v>
      </c>
      <c r="W9" s="495">
        <f t="shared" si="10"/>
        <v>23700</v>
      </c>
      <c r="X9" s="496">
        <f t="shared" si="11"/>
        <v>55200</v>
      </c>
      <c r="Y9" s="497">
        <v>177500</v>
      </c>
      <c r="Z9" s="495">
        <f t="shared" si="12"/>
        <v>23700</v>
      </c>
      <c r="AA9" s="496">
        <f t="shared" si="13"/>
        <v>74900</v>
      </c>
    </row>
    <row r="10" spans="1:27" ht="13" thickBot="1">
      <c r="A10" s="179"/>
      <c r="B10" s="24">
        <v>6</v>
      </c>
      <c r="C10" s="498">
        <v>82700</v>
      </c>
      <c r="D10" s="485">
        <v>91000</v>
      </c>
      <c r="E10" s="486">
        <f t="shared" si="0"/>
        <v>8300</v>
      </c>
      <c r="F10" s="485">
        <v>99200</v>
      </c>
      <c r="G10" s="487">
        <f t="shared" si="1"/>
        <v>16500</v>
      </c>
      <c r="H10" s="485">
        <v>107500</v>
      </c>
      <c r="I10" s="487">
        <f t="shared" si="2"/>
        <v>24800</v>
      </c>
      <c r="J10" s="485">
        <v>115800</v>
      </c>
      <c r="K10" s="488">
        <f t="shared" si="3"/>
        <v>24800</v>
      </c>
      <c r="L10" s="489">
        <f t="shared" si="4"/>
        <v>8300</v>
      </c>
      <c r="M10" s="490">
        <v>124100</v>
      </c>
      <c r="N10" s="488">
        <f t="shared" si="5"/>
        <v>24800</v>
      </c>
      <c r="O10" s="489">
        <f t="shared" si="7"/>
        <v>16600</v>
      </c>
      <c r="P10" s="490">
        <v>136500</v>
      </c>
      <c r="Q10" s="488">
        <f t="shared" si="6"/>
        <v>24800</v>
      </c>
      <c r="R10" s="489">
        <f t="shared" si="14"/>
        <v>29000</v>
      </c>
      <c r="S10" s="490">
        <v>148900</v>
      </c>
      <c r="T10" s="488">
        <f t="shared" si="8"/>
        <v>24800</v>
      </c>
      <c r="U10" s="489">
        <f t="shared" si="9"/>
        <v>41400</v>
      </c>
      <c r="V10" s="490">
        <v>165400</v>
      </c>
      <c r="W10" s="488">
        <f t="shared" si="10"/>
        <v>24800</v>
      </c>
      <c r="X10" s="489">
        <f t="shared" si="11"/>
        <v>57900</v>
      </c>
      <c r="Y10" s="490">
        <v>186100</v>
      </c>
      <c r="Z10" s="488">
        <f t="shared" si="12"/>
        <v>24800</v>
      </c>
      <c r="AA10" s="489">
        <f t="shared" si="13"/>
        <v>78600</v>
      </c>
    </row>
    <row r="11" spans="1:27">
      <c r="A11" s="177" t="s">
        <v>24</v>
      </c>
      <c r="B11" s="22">
        <v>1</v>
      </c>
      <c r="C11" s="491">
        <v>79000</v>
      </c>
      <c r="D11" s="492">
        <v>86900</v>
      </c>
      <c r="E11" s="493">
        <f t="shared" si="0"/>
        <v>7900</v>
      </c>
      <c r="F11" s="492">
        <v>94800</v>
      </c>
      <c r="G11" s="494">
        <f t="shared" si="1"/>
        <v>15800</v>
      </c>
      <c r="H11" s="492">
        <v>102700</v>
      </c>
      <c r="I11" s="494">
        <f t="shared" si="2"/>
        <v>23700</v>
      </c>
      <c r="J11" s="492">
        <v>110600</v>
      </c>
      <c r="K11" s="495">
        <f t="shared" si="3"/>
        <v>23700</v>
      </c>
      <c r="L11" s="496">
        <f t="shared" si="4"/>
        <v>7900</v>
      </c>
      <c r="M11" s="497">
        <v>118500</v>
      </c>
      <c r="N11" s="495">
        <f t="shared" si="5"/>
        <v>23700</v>
      </c>
      <c r="O11" s="496">
        <f t="shared" si="7"/>
        <v>15800</v>
      </c>
      <c r="P11" s="497">
        <v>130400</v>
      </c>
      <c r="Q11" s="495">
        <f t="shared" si="6"/>
        <v>23700</v>
      </c>
      <c r="R11" s="496">
        <f t="shared" si="14"/>
        <v>27700</v>
      </c>
      <c r="S11" s="497">
        <v>142200</v>
      </c>
      <c r="T11" s="495">
        <f t="shared" si="8"/>
        <v>23700</v>
      </c>
      <c r="U11" s="496">
        <f t="shared" si="9"/>
        <v>39500</v>
      </c>
      <c r="V11" s="497">
        <v>158000</v>
      </c>
      <c r="W11" s="495">
        <f t="shared" si="10"/>
        <v>23700</v>
      </c>
      <c r="X11" s="496">
        <f t="shared" si="11"/>
        <v>55300</v>
      </c>
      <c r="Y11" s="497">
        <v>177800</v>
      </c>
      <c r="Z11" s="495">
        <f t="shared" si="12"/>
        <v>23700</v>
      </c>
      <c r="AA11" s="496">
        <f t="shared" si="13"/>
        <v>75100</v>
      </c>
    </row>
    <row r="12" spans="1:27">
      <c r="A12" s="178"/>
      <c r="B12" s="23">
        <v>2</v>
      </c>
      <c r="C12" s="491">
        <v>82800</v>
      </c>
      <c r="D12" s="492">
        <v>91100</v>
      </c>
      <c r="E12" s="493">
        <f t="shared" si="0"/>
        <v>8300</v>
      </c>
      <c r="F12" s="492">
        <v>99400</v>
      </c>
      <c r="G12" s="494">
        <f t="shared" si="1"/>
        <v>16600</v>
      </c>
      <c r="H12" s="492">
        <v>107600</v>
      </c>
      <c r="I12" s="494">
        <f t="shared" si="2"/>
        <v>24800</v>
      </c>
      <c r="J12" s="492">
        <v>115900</v>
      </c>
      <c r="K12" s="495">
        <f t="shared" si="3"/>
        <v>24800</v>
      </c>
      <c r="L12" s="496">
        <f t="shared" si="4"/>
        <v>8300</v>
      </c>
      <c r="M12" s="497">
        <v>124200</v>
      </c>
      <c r="N12" s="495">
        <f t="shared" si="5"/>
        <v>24800</v>
      </c>
      <c r="O12" s="496">
        <f t="shared" si="7"/>
        <v>16600</v>
      </c>
      <c r="P12" s="497">
        <v>136600</v>
      </c>
      <c r="Q12" s="495">
        <f t="shared" si="6"/>
        <v>24800</v>
      </c>
      <c r="R12" s="496">
        <f t="shared" si="14"/>
        <v>29000</v>
      </c>
      <c r="S12" s="497">
        <v>149000</v>
      </c>
      <c r="T12" s="495">
        <f t="shared" si="8"/>
        <v>24800</v>
      </c>
      <c r="U12" s="496">
        <f t="shared" si="9"/>
        <v>41400</v>
      </c>
      <c r="V12" s="497">
        <v>165600</v>
      </c>
      <c r="W12" s="495">
        <f t="shared" si="10"/>
        <v>24800</v>
      </c>
      <c r="X12" s="496">
        <f t="shared" si="11"/>
        <v>58000</v>
      </c>
      <c r="Y12" s="497">
        <v>186300</v>
      </c>
      <c r="Z12" s="495">
        <f t="shared" si="12"/>
        <v>24800</v>
      </c>
      <c r="AA12" s="496">
        <f t="shared" si="13"/>
        <v>78700</v>
      </c>
    </row>
    <row r="13" spans="1:27">
      <c r="A13" s="178"/>
      <c r="B13" s="23">
        <v>3</v>
      </c>
      <c r="C13" s="491">
        <v>87400</v>
      </c>
      <c r="D13" s="492">
        <v>96100</v>
      </c>
      <c r="E13" s="493">
        <f t="shared" si="0"/>
        <v>8700</v>
      </c>
      <c r="F13" s="492">
        <v>104900</v>
      </c>
      <c r="G13" s="494">
        <f t="shared" si="1"/>
        <v>17500</v>
      </c>
      <c r="H13" s="492">
        <v>113600</v>
      </c>
      <c r="I13" s="494">
        <f t="shared" si="2"/>
        <v>26200</v>
      </c>
      <c r="J13" s="492">
        <v>122400</v>
      </c>
      <c r="K13" s="495">
        <f t="shared" si="3"/>
        <v>26200</v>
      </c>
      <c r="L13" s="496">
        <f t="shared" si="4"/>
        <v>8800</v>
      </c>
      <c r="M13" s="497">
        <v>131100</v>
      </c>
      <c r="N13" s="495">
        <f t="shared" si="5"/>
        <v>26200</v>
      </c>
      <c r="O13" s="496">
        <f t="shared" si="7"/>
        <v>17500</v>
      </c>
      <c r="P13" s="497">
        <v>144200</v>
      </c>
      <c r="Q13" s="495">
        <f t="shared" si="6"/>
        <v>26200</v>
      </c>
      <c r="R13" s="496">
        <f t="shared" si="14"/>
        <v>30600</v>
      </c>
      <c r="S13" s="497">
        <v>157300</v>
      </c>
      <c r="T13" s="495">
        <f t="shared" si="8"/>
        <v>26200</v>
      </c>
      <c r="U13" s="496">
        <f t="shared" si="9"/>
        <v>43700</v>
      </c>
      <c r="V13" s="497">
        <v>174800</v>
      </c>
      <c r="W13" s="495">
        <f t="shared" si="10"/>
        <v>26200</v>
      </c>
      <c r="X13" s="496">
        <f t="shared" si="11"/>
        <v>61200</v>
      </c>
      <c r="Y13" s="497">
        <v>196700</v>
      </c>
      <c r="Z13" s="495">
        <f t="shared" si="12"/>
        <v>26200</v>
      </c>
      <c r="AA13" s="496">
        <f t="shared" si="13"/>
        <v>83100</v>
      </c>
    </row>
    <row r="14" spans="1:27">
      <c r="A14" s="178"/>
      <c r="B14" s="23">
        <v>4</v>
      </c>
      <c r="C14" s="491">
        <v>92800</v>
      </c>
      <c r="D14" s="492">
        <v>102100</v>
      </c>
      <c r="E14" s="493">
        <f t="shared" si="0"/>
        <v>9300</v>
      </c>
      <c r="F14" s="492">
        <v>111400</v>
      </c>
      <c r="G14" s="494">
        <f t="shared" si="1"/>
        <v>18600</v>
      </c>
      <c r="H14" s="492">
        <v>120600</v>
      </c>
      <c r="I14" s="494">
        <f t="shared" si="2"/>
        <v>27800</v>
      </c>
      <c r="J14" s="492">
        <v>129900</v>
      </c>
      <c r="K14" s="495">
        <f t="shared" si="3"/>
        <v>27800</v>
      </c>
      <c r="L14" s="496">
        <f t="shared" si="4"/>
        <v>9300</v>
      </c>
      <c r="M14" s="497">
        <v>139200</v>
      </c>
      <c r="N14" s="495">
        <f t="shared" si="5"/>
        <v>27800</v>
      </c>
      <c r="O14" s="496">
        <f t="shared" si="7"/>
        <v>18600</v>
      </c>
      <c r="P14" s="497">
        <v>153100</v>
      </c>
      <c r="Q14" s="495">
        <f t="shared" si="6"/>
        <v>27800</v>
      </c>
      <c r="R14" s="496">
        <f t="shared" si="14"/>
        <v>32500</v>
      </c>
      <c r="S14" s="497">
        <v>167000</v>
      </c>
      <c r="T14" s="495">
        <f t="shared" si="8"/>
        <v>27800</v>
      </c>
      <c r="U14" s="496">
        <f t="shared" si="9"/>
        <v>46400</v>
      </c>
      <c r="V14" s="497">
        <v>185600</v>
      </c>
      <c r="W14" s="495">
        <f t="shared" si="10"/>
        <v>27800</v>
      </c>
      <c r="X14" s="496">
        <f t="shared" si="11"/>
        <v>65000</v>
      </c>
      <c r="Y14" s="497">
        <v>208800</v>
      </c>
      <c r="Z14" s="495">
        <f t="shared" si="12"/>
        <v>27800</v>
      </c>
      <c r="AA14" s="496">
        <f t="shared" si="13"/>
        <v>88200</v>
      </c>
    </row>
    <row r="15" spans="1:27" ht="13" thickBot="1">
      <c r="A15" s="179"/>
      <c r="B15" s="24">
        <v>5</v>
      </c>
      <c r="C15" s="498">
        <v>100000</v>
      </c>
      <c r="D15" s="485">
        <v>110000</v>
      </c>
      <c r="E15" s="486">
        <f t="shared" si="0"/>
        <v>10000</v>
      </c>
      <c r="F15" s="485">
        <v>120000</v>
      </c>
      <c r="G15" s="487">
        <f t="shared" si="1"/>
        <v>20000</v>
      </c>
      <c r="H15" s="485">
        <v>130000</v>
      </c>
      <c r="I15" s="487">
        <f t="shared" si="2"/>
        <v>30000</v>
      </c>
      <c r="J15" s="485">
        <v>140000</v>
      </c>
      <c r="K15" s="488">
        <f t="shared" si="3"/>
        <v>30000</v>
      </c>
      <c r="L15" s="489">
        <f t="shared" si="4"/>
        <v>10000</v>
      </c>
      <c r="M15" s="490">
        <v>150000</v>
      </c>
      <c r="N15" s="488">
        <f t="shared" si="5"/>
        <v>30000</v>
      </c>
      <c r="O15" s="489">
        <f t="shared" si="7"/>
        <v>20000</v>
      </c>
      <c r="P15" s="490">
        <v>165000</v>
      </c>
      <c r="Q15" s="488">
        <f t="shared" si="6"/>
        <v>30000</v>
      </c>
      <c r="R15" s="489">
        <f t="shared" si="14"/>
        <v>35000</v>
      </c>
      <c r="S15" s="490">
        <v>180000</v>
      </c>
      <c r="T15" s="488">
        <f t="shared" si="8"/>
        <v>30000</v>
      </c>
      <c r="U15" s="489">
        <f t="shared" si="9"/>
        <v>50000</v>
      </c>
      <c r="V15" s="490">
        <v>200000</v>
      </c>
      <c r="W15" s="488">
        <f t="shared" si="10"/>
        <v>30000</v>
      </c>
      <c r="X15" s="489">
        <f t="shared" si="11"/>
        <v>70000</v>
      </c>
      <c r="Y15" s="490">
        <v>225000</v>
      </c>
      <c r="Z15" s="488">
        <f t="shared" si="12"/>
        <v>30000</v>
      </c>
      <c r="AA15" s="489">
        <f t="shared" si="13"/>
        <v>95000</v>
      </c>
    </row>
    <row r="16" spans="1:27">
      <c r="A16" s="177" t="s">
        <v>25</v>
      </c>
      <c r="B16" s="22">
        <v>1</v>
      </c>
      <c r="C16" s="491">
        <v>92900</v>
      </c>
      <c r="D16" s="492">
        <v>102200</v>
      </c>
      <c r="E16" s="493">
        <f t="shared" si="0"/>
        <v>9300</v>
      </c>
      <c r="F16" s="492">
        <v>111500</v>
      </c>
      <c r="G16" s="494">
        <f t="shared" si="1"/>
        <v>18600</v>
      </c>
      <c r="H16" s="492">
        <v>120800</v>
      </c>
      <c r="I16" s="494">
        <f t="shared" si="2"/>
        <v>27900</v>
      </c>
      <c r="J16" s="492">
        <v>130100</v>
      </c>
      <c r="K16" s="495">
        <f t="shared" si="3"/>
        <v>27900</v>
      </c>
      <c r="L16" s="496">
        <f t="shared" si="4"/>
        <v>9300</v>
      </c>
      <c r="M16" s="497">
        <v>139400</v>
      </c>
      <c r="N16" s="495">
        <f t="shared" si="5"/>
        <v>27900</v>
      </c>
      <c r="O16" s="496">
        <f t="shared" si="7"/>
        <v>18600</v>
      </c>
      <c r="P16" s="497">
        <v>153300</v>
      </c>
      <c r="Q16" s="495">
        <f t="shared" si="6"/>
        <v>27900</v>
      </c>
      <c r="R16" s="496">
        <f t="shared" si="14"/>
        <v>32500</v>
      </c>
      <c r="S16" s="497">
        <v>167200</v>
      </c>
      <c r="T16" s="495">
        <f t="shared" si="8"/>
        <v>27900</v>
      </c>
      <c r="U16" s="496">
        <f t="shared" si="9"/>
        <v>46400</v>
      </c>
      <c r="V16" s="497">
        <v>185800</v>
      </c>
      <c r="W16" s="495">
        <f t="shared" si="10"/>
        <v>27900</v>
      </c>
      <c r="X16" s="496">
        <f t="shared" si="11"/>
        <v>65000</v>
      </c>
      <c r="Y16" s="497">
        <v>209000</v>
      </c>
      <c r="Z16" s="495">
        <f t="shared" si="12"/>
        <v>27900</v>
      </c>
      <c r="AA16" s="496">
        <f t="shared" si="13"/>
        <v>88200</v>
      </c>
    </row>
    <row r="17" spans="1:27">
      <c r="A17" s="178"/>
      <c r="B17" s="23">
        <v>2</v>
      </c>
      <c r="C17" s="491">
        <v>100100</v>
      </c>
      <c r="D17" s="492">
        <v>110100</v>
      </c>
      <c r="E17" s="493">
        <f t="shared" si="0"/>
        <v>10000</v>
      </c>
      <c r="F17" s="492">
        <v>120100</v>
      </c>
      <c r="G17" s="494">
        <f t="shared" si="1"/>
        <v>20000</v>
      </c>
      <c r="H17" s="492">
        <v>130100</v>
      </c>
      <c r="I17" s="494">
        <f t="shared" si="2"/>
        <v>30000</v>
      </c>
      <c r="J17" s="492">
        <v>140100</v>
      </c>
      <c r="K17" s="495">
        <f t="shared" si="3"/>
        <v>30000</v>
      </c>
      <c r="L17" s="496">
        <f t="shared" si="4"/>
        <v>10000</v>
      </c>
      <c r="M17" s="497">
        <v>150200</v>
      </c>
      <c r="N17" s="495">
        <f t="shared" si="5"/>
        <v>30000</v>
      </c>
      <c r="O17" s="496">
        <f t="shared" si="7"/>
        <v>20100</v>
      </c>
      <c r="P17" s="497">
        <v>165200</v>
      </c>
      <c r="Q17" s="495">
        <f t="shared" si="6"/>
        <v>30000</v>
      </c>
      <c r="R17" s="496">
        <f t="shared" si="14"/>
        <v>35100</v>
      </c>
      <c r="S17" s="497">
        <v>180200</v>
      </c>
      <c r="T17" s="495">
        <f t="shared" si="8"/>
        <v>30000</v>
      </c>
      <c r="U17" s="496">
        <f t="shared" si="9"/>
        <v>50100</v>
      </c>
      <c r="V17" s="497">
        <v>200200</v>
      </c>
      <c r="W17" s="495">
        <f t="shared" si="10"/>
        <v>30000</v>
      </c>
      <c r="X17" s="496">
        <f t="shared" si="11"/>
        <v>70100</v>
      </c>
      <c r="Y17" s="497">
        <v>225200</v>
      </c>
      <c r="Z17" s="495">
        <f t="shared" si="12"/>
        <v>30000</v>
      </c>
      <c r="AA17" s="496">
        <f t="shared" si="13"/>
        <v>95100</v>
      </c>
    </row>
    <row r="18" spans="1:27">
      <c r="A18" s="178"/>
      <c r="B18" s="23">
        <v>3</v>
      </c>
      <c r="C18" s="491">
        <v>107400</v>
      </c>
      <c r="D18" s="492">
        <v>118100</v>
      </c>
      <c r="E18" s="493">
        <f t="shared" si="0"/>
        <v>10700</v>
      </c>
      <c r="F18" s="492">
        <v>128900</v>
      </c>
      <c r="G18" s="494">
        <f t="shared" si="1"/>
        <v>21500</v>
      </c>
      <c r="H18" s="492">
        <v>139600</v>
      </c>
      <c r="I18" s="494">
        <f t="shared" si="2"/>
        <v>32200</v>
      </c>
      <c r="J18" s="492">
        <v>150400</v>
      </c>
      <c r="K18" s="495">
        <f t="shared" si="3"/>
        <v>32200</v>
      </c>
      <c r="L18" s="496">
        <f t="shared" si="4"/>
        <v>10800</v>
      </c>
      <c r="M18" s="497">
        <v>161100</v>
      </c>
      <c r="N18" s="495">
        <f t="shared" si="5"/>
        <v>32200</v>
      </c>
      <c r="O18" s="496">
        <f t="shared" si="7"/>
        <v>21500</v>
      </c>
      <c r="P18" s="497">
        <v>177200</v>
      </c>
      <c r="Q18" s="495">
        <f t="shared" si="6"/>
        <v>32200</v>
      </c>
      <c r="R18" s="496">
        <f t="shared" si="14"/>
        <v>37600</v>
      </c>
      <c r="S18" s="497">
        <v>193300</v>
      </c>
      <c r="T18" s="495">
        <f t="shared" si="8"/>
        <v>32200</v>
      </c>
      <c r="U18" s="496">
        <f t="shared" si="9"/>
        <v>53700</v>
      </c>
      <c r="V18" s="497">
        <v>214800</v>
      </c>
      <c r="W18" s="495">
        <f t="shared" si="10"/>
        <v>32200</v>
      </c>
      <c r="X18" s="496">
        <f t="shared" si="11"/>
        <v>75200</v>
      </c>
      <c r="Y18" s="497">
        <v>241700</v>
      </c>
      <c r="Z18" s="495">
        <f t="shared" si="12"/>
        <v>32200</v>
      </c>
      <c r="AA18" s="496">
        <f t="shared" si="13"/>
        <v>102100</v>
      </c>
    </row>
    <row r="19" spans="1:27">
      <c r="A19" s="178"/>
      <c r="B19" s="23">
        <v>4</v>
      </c>
      <c r="C19" s="491">
        <v>115200</v>
      </c>
      <c r="D19" s="492">
        <v>126700</v>
      </c>
      <c r="E19" s="493">
        <f t="shared" si="0"/>
        <v>11500</v>
      </c>
      <c r="F19" s="492">
        <v>138200</v>
      </c>
      <c r="G19" s="494">
        <f t="shared" si="1"/>
        <v>23000</v>
      </c>
      <c r="H19" s="492">
        <v>149800</v>
      </c>
      <c r="I19" s="494">
        <f t="shared" si="2"/>
        <v>34600</v>
      </c>
      <c r="J19" s="492">
        <v>161300</v>
      </c>
      <c r="K19" s="495">
        <f t="shared" si="3"/>
        <v>34600</v>
      </c>
      <c r="L19" s="496">
        <f t="shared" si="4"/>
        <v>11500</v>
      </c>
      <c r="M19" s="497">
        <v>172800</v>
      </c>
      <c r="N19" s="495">
        <f t="shared" si="5"/>
        <v>34600</v>
      </c>
      <c r="O19" s="496">
        <f t="shared" si="7"/>
        <v>23000</v>
      </c>
      <c r="P19" s="497">
        <v>190100</v>
      </c>
      <c r="Q19" s="495">
        <f t="shared" si="6"/>
        <v>34600</v>
      </c>
      <c r="R19" s="496">
        <f t="shared" si="14"/>
        <v>40300</v>
      </c>
      <c r="S19" s="497">
        <v>207400</v>
      </c>
      <c r="T19" s="495">
        <f t="shared" si="8"/>
        <v>34600</v>
      </c>
      <c r="U19" s="496">
        <f t="shared" si="9"/>
        <v>57600</v>
      </c>
      <c r="V19" s="497">
        <v>230400</v>
      </c>
      <c r="W19" s="495">
        <f t="shared" si="10"/>
        <v>34600</v>
      </c>
      <c r="X19" s="496">
        <f t="shared" si="11"/>
        <v>80600</v>
      </c>
      <c r="Y19" s="497">
        <v>259200</v>
      </c>
      <c r="Z19" s="495">
        <f t="shared" si="12"/>
        <v>34600</v>
      </c>
      <c r="AA19" s="496">
        <f t="shared" si="13"/>
        <v>109400</v>
      </c>
    </row>
    <row r="20" spans="1:27">
      <c r="A20" s="178"/>
      <c r="B20" s="23">
        <v>5</v>
      </c>
      <c r="C20" s="491">
        <v>123400</v>
      </c>
      <c r="D20" s="492">
        <v>135700</v>
      </c>
      <c r="E20" s="493">
        <f t="shared" si="0"/>
        <v>12300</v>
      </c>
      <c r="F20" s="492">
        <v>148100</v>
      </c>
      <c r="G20" s="494">
        <f t="shared" si="1"/>
        <v>24700</v>
      </c>
      <c r="H20" s="492">
        <v>160400</v>
      </c>
      <c r="I20" s="494">
        <f t="shared" si="2"/>
        <v>37000</v>
      </c>
      <c r="J20" s="492">
        <v>172800</v>
      </c>
      <c r="K20" s="495">
        <f t="shared" si="3"/>
        <v>37000</v>
      </c>
      <c r="L20" s="496">
        <f t="shared" si="4"/>
        <v>12400</v>
      </c>
      <c r="M20" s="497">
        <v>185100</v>
      </c>
      <c r="N20" s="495">
        <f t="shared" si="5"/>
        <v>37000</v>
      </c>
      <c r="O20" s="496">
        <f t="shared" si="7"/>
        <v>24700</v>
      </c>
      <c r="P20" s="497">
        <v>203600</v>
      </c>
      <c r="Q20" s="495">
        <f t="shared" si="6"/>
        <v>37000</v>
      </c>
      <c r="R20" s="496">
        <f t="shared" si="14"/>
        <v>43200</v>
      </c>
      <c r="S20" s="497">
        <v>222100</v>
      </c>
      <c r="T20" s="495">
        <f t="shared" si="8"/>
        <v>37000</v>
      </c>
      <c r="U20" s="496">
        <f t="shared" si="9"/>
        <v>61700</v>
      </c>
      <c r="V20" s="497">
        <v>246800</v>
      </c>
      <c r="W20" s="495">
        <f t="shared" si="10"/>
        <v>37000</v>
      </c>
      <c r="X20" s="496">
        <f t="shared" si="11"/>
        <v>86400</v>
      </c>
      <c r="Y20" s="497">
        <v>277700</v>
      </c>
      <c r="Z20" s="495">
        <f t="shared" si="12"/>
        <v>37000</v>
      </c>
      <c r="AA20" s="496">
        <f t="shared" si="13"/>
        <v>117300</v>
      </c>
    </row>
    <row r="21" spans="1:27">
      <c r="A21" s="178"/>
      <c r="B21" s="23">
        <v>6</v>
      </c>
      <c r="C21" s="491">
        <v>133600</v>
      </c>
      <c r="D21" s="492">
        <v>147000</v>
      </c>
      <c r="E21" s="493">
        <f t="shared" si="0"/>
        <v>13400</v>
      </c>
      <c r="F21" s="492">
        <v>160300</v>
      </c>
      <c r="G21" s="494">
        <f t="shared" si="1"/>
        <v>26700</v>
      </c>
      <c r="H21" s="492">
        <v>173700</v>
      </c>
      <c r="I21" s="494">
        <f t="shared" si="2"/>
        <v>40100</v>
      </c>
      <c r="J21" s="492">
        <v>187000</v>
      </c>
      <c r="K21" s="495">
        <f t="shared" si="3"/>
        <v>40100</v>
      </c>
      <c r="L21" s="496">
        <f t="shared" si="4"/>
        <v>13300</v>
      </c>
      <c r="M21" s="497">
        <v>200400</v>
      </c>
      <c r="N21" s="495">
        <f t="shared" si="5"/>
        <v>40100</v>
      </c>
      <c r="O21" s="496">
        <f>M21-H21</f>
        <v>26700</v>
      </c>
      <c r="P21" s="497">
        <v>220400</v>
      </c>
      <c r="Q21" s="495">
        <f t="shared" si="6"/>
        <v>40100</v>
      </c>
      <c r="R21" s="496">
        <f>P21-H21</f>
        <v>46700</v>
      </c>
      <c r="S21" s="497">
        <v>240500</v>
      </c>
      <c r="T21" s="495">
        <f t="shared" si="8"/>
        <v>40100</v>
      </c>
      <c r="U21" s="496">
        <f t="shared" si="9"/>
        <v>66800</v>
      </c>
      <c r="V21" s="497">
        <v>267200</v>
      </c>
      <c r="W21" s="495">
        <f t="shared" si="10"/>
        <v>40100</v>
      </c>
      <c r="X21" s="496">
        <f t="shared" si="11"/>
        <v>93500</v>
      </c>
      <c r="Y21" s="497">
        <v>300600</v>
      </c>
      <c r="Z21" s="495">
        <f t="shared" si="12"/>
        <v>40100</v>
      </c>
      <c r="AA21" s="496">
        <f t="shared" si="13"/>
        <v>126900</v>
      </c>
    </row>
    <row r="22" spans="1:27">
      <c r="A22" s="178"/>
      <c r="B22" s="23">
        <v>7</v>
      </c>
      <c r="C22" s="491">
        <v>144600</v>
      </c>
      <c r="D22" s="492">
        <v>159100</v>
      </c>
      <c r="E22" s="493">
        <f t="shared" si="0"/>
        <v>14500</v>
      </c>
      <c r="F22" s="492">
        <v>173500</v>
      </c>
      <c r="G22" s="494">
        <f t="shared" si="1"/>
        <v>28900</v>
      </c>
      <c r="H22" s="492">
        <v>188000</v>
      </c>
      <c r="I22" s="494">
        <f t="shared" si="2"/>
        <v>43400</v>
      </c>
      <c r="J22" s="492">
        <v>202400</v>
      </c>
      <c r="K22" s="495">
        <f t="shared" si="3"/>
        <v>43400</v>
      </c>
      <c r="L22" s="496">
        <f t="shared" si="4"/>
        <v>14400</v>
      </c>
      <c r="M22" s="497">
        <v>216900</v>
      </c>
      <c r="N22" s="495">
        <f t="shared" si="5"/>
        <v>43400</v>
      </c>
      <c r="O22" s="496">
        <f>M22-H22</f>
        <v>28900</v>
      </c>
      <c r="P22" s="497">
        <v>238600</v>
      </c>
      <c r="Q22" s="495">
        <f t="shared" si="6"/>
        <v>43400</v>
      </c>
      <c r="R22" s="496">
        <f>P22-H22</f>
        <v>50600</v>
      </c>
      <c r="S22" s="497">
        <v>260300</v>
      </c>
      <c r="T22" s="495">
        <f t="shared" si="8"/>
        <v>43400</v>
      </c>
      <c r="U22" s="496">
        <f t="shared" si="9"/>
        <v>72300</v>
      </c>
      <c r="V22" s="497">
        <v>289200</v>
      </c>
      <c r="W22" s="495">
        <f t="shared" si="10"/>
        <v>43400</v>
      </c>
      <c r="X22" s="496">
        <f t="shared" si="11"/>
        <v>101200</v>
      </c>
      <c r="Y22" s="497">
        <v>325400</v>
      </c>
      <c r="Z22" s="495">
        <f t="shared" si="12"/>
        <v>43400</v>
      </c>
      <c r="AA22" s="496">
        <f t="shared" si="13"/>
        <v>137400</v>
      </c>
    </row>
    <row r="23" spans="1:27" ht="13" thickBot="1">
      <c r="A23" s="363"/>
      <c r="B23" s="24">
        <v>8</v>
      </c>
      <c r="C23" s="499">
        <v>156600</v>
      </c>
      <c r="D23" s="500">
        <v>172300</v>
      </c>
      <c r="E23" s="501">
        <f t="shared" si="0"/>
        <v>15700</v>
      </c>
      <c r="F23" s="500">
        <v>187900</v>
      </c>
      <c r="G23" s="502">
        <f>F23-C23</f>
        <v>31300</v>
      </c>
      <c r="H23" s="500">
        <v>203600</v>
      </c>
      <c r="I23" s="502">
        <f>H23-C23</f>
        <v>47000</v>
      </c>
      <c r="J23" s="500">
        <v>219200</v>
      </c>
      <c r="K23" s="503">
        <f t="shared" si="3"/>
        <v>47000</v>
      </c>
      <c r="L23" s="504">
        <f>J23-H23</f>
        <v>15600</v>
      </c>
      <c r="M23" s="505">
        <v>234900</v>
      </c>
      <c r="N23" s="503">
        <f t="shared" si="5"/>
        <v>47000</v>
      </c>
      <c r="O23" s="504">
        <f>M23-H23</f>
        <v>31300</v>
      </c>
      <c r="P23" s="505">
        <v>258400</v>
      </c>
      <c r="Q23" s="503">
        <f t="shared" si="6"/>
        <v>47000</v>
      </c>
      <c r="R23" s="504">
        <f>P23-H23</f>
        <v>54800</v>
      </c>
      <c r="S23" s="505">
        <v>281900</v>
      </c>
      <c r="T23" s="503">
        <f t="shared" si="8"/>
        <v>47000</v>
      </c>
      <c r="U23" s="504">
        <f t="shared" si="9"/>
        <v>78300</v>
      </c>
      <c r="V23" s="505">
        <v>313200</v>
      </c>
      <c r="W23" s="503">
        <f t="shared" si="10"/>
        <v>47000</v>
      </c>
      <c r="X23" s="504">
        <f t="shared" si="11"/>
        <v>109600</v>
      </c>
      <c r="Y23" s="505">
        <v>352400</v>
      </c>
      <c r="Z23" s="503">
        <f t="shared" si="12"/>
        <v>47000</v>
      </c>
      <c r="AA23" s="504">
        <f t="shared" si="13"/>
        <v>148800</v>
      </c>
    </row>
    <row r="24" spans="1:27" ht="13" thickBot="1">
      <c r="A24" s="370"/>
      <c r="B24" s="24">
        <v>9</v>
      </c>
      <c r="C24" s="506">
        <v>169600</v>
      </c>
      <c r="D24" s="507">
        <v>186600</v>
      </c>
      <c r="E24" s="508">
        <f t="shared" si="0"/>
        <v>17000</v>
      </c>
      <c r="F24" s="507">
        <v>203500</v>
      </c>
      <c r="G24" s="509">
        <f>F24-C24</f>
        <v>33900</v>
      </c>
      <c r="H24" s="507">
        <v>220500</v>
      </c>
      <c r="I24" s="509">
        <f>H24-C24</f>
        <v>50900</v>
      </c>
      <c r="J24" s="507">
        <v>237400</v>
      </c>
      <c r="K24" s="510">
        <f>I24</f>
        <v>50900</v>
      </c>
      <c r="L24" s="511">
        <f>J24-H24</f>
        <v>16900</v>
      </c>
      <c r="M24" s="512">
        <v>254400</v>
      </c>
      <c r="N24" s="510">
        <f>K24</f>
        <v>50900</v>
      </c>
      <c r="O24" s="511">
        <f>M24-H24</f>
        <v>33900</v>
      </c>
      <c r="P24" s="512">
        <v>279800</v>
      </c>
      <c r="Q24" s="510">
        <f>N24</f>
        <v>50900</v>
      </c>
      <c r="R24" s="511">
        <f>P24-H24</f>
        <v>59300</v>
      </c>
      <c r="S24" s="512">
        <v>305300</v>
      </c>
      <c r="T24" s="510">
        <f>Q24</f>
        <v>50900</v>
      </c>
      <c r="U24" s="511">
        <f>S24-H24</f>
        <v>84800</v>
      </c>
      <c r="V24" s="512">
        <v>339200</v>
      </c>
      <c r="W24" s="510">
        <f>T24</f>
        <v>50900</v>
      </c>
      <c r="X24" s="511">
        <f t="shared" si="11"/>
        <v>118700</v>
      </c>
      <c r="Y24" s="512">
        <v>381600</v>
      </c>
      <c r="Z24" s="510">
        <f>W24</f>
        <v>50900</v>
      </c>
      <c r="AA24" s="511">
        <f t="shared" si="13"/>
        <v>161100</v>
      </c>
    </row>
    <row r="25" spans="1:27" ht="13" thickBot="1"/>
    <row r="26" spans="1:27" ht="13" thickBot="1">
      <c r="D26" s="43" t="s">
        <v>26</v>
      </c>
      <c r="E26" s="44"/>
      <c r="F26" s="44"/>
      <c r="G26" s="44"/>
      <c r="H26" s="44"/>
      <c r="I26" s="44"/>
      <c r="J26" s="44"/>
      <c r="K26" s="396"/>
      <c r="L26" s="45"/>
      <c r="M26" s="44" t="s">
        <v>27</v>
      </c>
      <c r="N26" s="44"/>
      <c r="O26" s="44"/>
      <c r="P26" s="395"/>
      <c r="Q26" s="44"/>
      <c r="R26" s="44"/>
      <c r="S26" s="45"/>
      <c r="X26" s="54"/>
    </row>
    <row r="27" spans="1:27">
      <c r="A27" s="20"/>
      <c r="B27" s="20"/>
      <c r="C27" s="25" t="s">
        <v>18</v>
      </c>
      <c r="D27" s="26" t="s">
        <v>19</v>
      </c>
      <c r="E27" s="30" t="s">
        <v>19</v>
      </c>
      <c r="F27" s="30" t="s">
        <v>19</v>
      </c>
      <c r="G27" s="30" t="s">
        <v>19</v>
      </c>
      <c r="H27" s="30" t="s">
        <v>19</v>
      </c>
      <c r="I27" s="30" t="s">
        <v>19</v>
      </c>
      <c r="J27" s="31" t="s">
        <v>19</v>
      </c>
      <c r="K27" s="30" t="s">
        <v>19</v>
      </c>
      <c r="L27" s="27" t="s">
        <v>19</v>
      </c>
      <c r="M27" s="31" t="s">
        <v>19</v>
      </c>
      <c r="N27" s="31" t="s">
        <v>19</v>
      </c>
      <c r="O27" s="31" t="s">
        <v>19</v>
      </c>
      <c r="P27" s="30" t="s">
        <v>19</v>
      </c>
      <c r="Q27" s="30" t="s">
        <v>19</v>
      </c>
      <c r="R27" s="27" t="s">
        <v>19</v>
      </c>
      <c r="S27" s="29"/>
    </row>
    <row r="28" spans="1:27" ht="13" thickBot="1">
      <c r="A28" s="34" t="s">
        <v>20</v>
      </c>
      <c r="B28" s="21" t="s">
        <v>21</v>
      </c>
      <c r="C28" s="180" t="s">
        <v>19</v>
      </c>
      <c r="D28" s="399">
        <v>1</v>
      </c>
      <c r="E28" s="189">
        <v>2</v>
      </c>
      <c r="F28" s="189">
        <v>3</v>
      </c>
      <c r="G28" s="189">
        <v>4</v>
      </c>
      <c r="H28" s="189">
        <v>5</v>
      </c>
      <c r="I28" s="189">
        <v>6</v>
      </c>
      <c r="J28" s="189">
        <v>7</v>
      </c>
      <c r="K28" s="187">
        <v>8</v>
      </c>
      <c r="L28" s="185">
        <v>9</v>
      </c>
      <c r="M28" s="279">
        <v>4</v>
      </c>
      <c r="N28" s="278">
        <v>5</v>
      </c>
      <c r="O28" s="278">
        <v>6</v>
      </c>
      <c r="P28" s="279">
        <v>7</v>
      </c>
      <c r="Q28" s="279">
        <v>8</v>
      </c>
      <c r="R28" s="195">
        <v>9</v>
      </c>
      <c r="S28" s="33"/>
      <c r="W28" s="54"/>
    </row>
    <row r="29" spans="1:27" ht="13" thickBot="1">
      <c r="A29" s="42" t="s">
        <v>22</v>
      </c>
      <c r="B29" s="281" t="s">
        <v>85</v>
      </c>
      <c r="C29" s="181">
        <f>C4</f>
        <v>54800</v>
      </c>
      <c r="D29" s="188">
        <f>E4</f>
        <v>5500</v>
      </c>
      <c r="E29" s="188">
        <f>G4</f>
        <v>11000</v>
      </c>
      <c r="F29" s="188">
        <f>I4</f>
        <v>16400</v>
      </c>
      <c r="G29" s="188">
        <f>K4</f>
        <v>16400</v>
      </c>
      <c r="H29" s="188">
        <f>N4</f>
        <v>16400</v>
      </c>
      <c r="I29" s="188">
        <f>Q4</f>
        <v>16400</v>
      </c>
      <c r="J29" s="364">
        <f>T4</f>
        <v>16400</v>
      </c>
      <c r="K29" s="188">
        <f>W4</f>
        <v>16400</v>
      </c>
      <c r="L29" s="186">
        <f>Z4</f>
        <v>16400</v>
      </c>
      <c r="M29" s="397">
        <f>L4</f>
        <v>5500</v>
      </c>
      <c r="N29" s="397">
        <f>O4</f>
        <v>11000</v>
      </c>
      <c r="O29" s="398">
        <f>R4</f>
        <v>19200</v>
      </c>
      <c r="P29" s="280">
        <f>U4</f>
        <v>27400</v>
      </c>
      <c r="Q29" s="398">
        <f>X4</f>
        <v>38400</v>
      </c>
      <c r="R29" s="194">
        <f>AA4</f>
        <v>52100</v>
      </c>
      <c r="S29" s="400"/>
    </row>
    <row r="30" spans="1:27">
      <c r="A30" t="s">
        <v>29</v>
      </c>
      <c r="B30" s="384">
        <f>OffScaleCalc!E32</f>
        <v>0</v>
      </c>
      <c r="D30">
        <f>IF(Instr_curr_Scale_off=1,IF(Instr_curr_Step_off&lt;&gt;0,LOOKUP(Instr_curr_Step_off,InstrSteps_off,HST_I1_Off),0),0)</f>
        <v>0</v>
      </c>
      <c r="E30">
        <f>IF(Instr_curr_Scale_off=2,IF(Instr_curr_Step_off&lt;&gt;0,LOOKUP(Instr_curr_Step_off,InstrSteps_off,HST_I2_Off),0),0)</f>
        <v>0</v>
      </c>
      <c r="F30">
        <f>IF(Instr_curr_Scale_off=3,IF(Instr_curr_Step_off&lt;&gt;0,LOOKUP(Instr_curr_Step_off,InstrSteps_off,HST_I3_off),0),0)</f>
        <v>0</v>
      </c>
      <c r="G30">
        <f>IF(Instr_curr_Scale_off=4,IF(Instr_curr_Step_off&lt;&gt;0,LOOKUP(Instr_curr_Step_off,InstrSteps_off,HST_I4_Off),0),0)</f>
        <v>0</v>
      </c>
      <c r="H30">
        <f>IF(Instr_curr_Scale_off=5,IF(Instr_curr_Step_off&lt;&gt;0,LOOKUP(Instr_curr_Step_off,InstrSteps_off,HST_I5_Off),0),0)</f>
        <v>0</v>
      </c>
      <c r="I30">
        <f>IF(Instr_curr_Scale_off=6,IF(Instr_curr_Step_off&lt;&gt;0,LOOKUP(Instr_curr_Step_off,InstrSteps_off,HST_I6_Off),0),0)</f>
        <v>0</v>
      </c>
      <c r="J30">
        <f>IF(Instr_curr_Scale_off=7,IF(Instr_curr_Step_off&lt;&gt;0,LOOKUP(Instr_curr_Step_off,InstrSteps_off,HST_I7_Off),0),0)</f>
        <v>0</v>
      </c>
      <c r="K30">
        <f>IF(Instr_curr_Scale_off=8,IF(Instr_curr_Step_off&lt;&gt;0,LOOKUP(Instr_curr_Step_off,InstrSteps_off,HSR_I4_Off),0),0)</f>
        <v>0</v>
      </c>
      <c r="L30">
        <f>IF(Instr_curr_Scale_off=9,IF(Instr_curr_Step_off&lt;&gt;0,LOOKUP(Instr_curr_Step_off,InstrSteps_off,HSR_I5_Off),0),0)</f>
        <v>0</v>
      </c>
      <c r="M30">
        <f>IF(Instr_curr_Scale_off=4,IF(Instr_curr_Step_off&lt;&gt;0,LOOKUP(Instr_curr_Step_off,InstrSteps_off,HSR_I6_Off),0),0)</f>
        <v>0</v>
      </c>
      <c r="N30">
        <f>IF(Instr_curr_Scale_off=5,IF(Instr_curr_Step_off&lt;&gt;0,LOOKUP(Instr_curr_Step_off,InstrSteps_off,HSR_I7_Off),0),0)</f>
        <v>0</v>
      </c>
      <c r="O30">
        <f>IF(Instr_curr_Scale_off=6,IF(Instr_curr_Step_off&lt;&gt;0,LOOKUP(Instr_curr_Step_off,InstrSteps_off,O29),0),0)</f>
        <v>0</v>
      </c>
      <c r="P30">
        <f>IF(Instr_curr_Scale_off=7,IF(Instr_curr_Step_off&lt;&gt;0,LOOKUP(Instr_curr_Step_off,InstrSteps_off,P29),0),0)</f>
        <v>0</v>
      </c>
      <c r="Q30">
        <f>IF(Instr_curr_Scale_off=8,IF(Instr_curr_Step_off&lt;&gt;0,LOOKUP(Instr_curr_Step_off,InstrSteps_off,Q29),0),0)</f>
        <v>0</v>
      </c>
      <c r="R30">
        <f>IF(Instr_curr_Scale_off=9,IF(Instr_curr_Step_off&lt;&gt;0,LOOKUP(Instr_curr_Step_off,InstrSteps_off,R29),0),0)</f>
        <v>0</v>
      </c>
    </row>
    <row r="31" spans="1:27">
      <c r="A31" t="s">
        <v>83</v>
      </c>
      <c r="B31">
        <f>IF(AND(Associate_Off="",Prof_Off="",Assistant_Off=""),Scale_Off,0)</f>
        <v>0</v>
      </c>
    </row>
    <row r="32" spans="1:27" ht="13" thickBot="1">
      <c r="A32" s="46" t="s">
        <v>28</v>
      </c>
      <c r="C32" s="203" t="s">
        <v>2</v>
      </c>
      <c r="D32" s="204">
        <v>1</v>
      </c>
      <c r="E32" s="204">
        <v>2</v>
      </c>
      <c r="F32" s="204">
        <v>3</v>
      </c>
      <c r="G32" s="204">
        <v>4</v>
      </c>
      <c r="H32" s="204">
        <v>5</v>
      </c>
      <c r="I32" s="204">
        <v>6</v>
      </c>
      <c r="J32" s="204">
        <v>7</v>
      </c>
      <c r="K32" s="204">
        <v>8</v>
      </c>
      <c r="L32" s="185">
        <v>9</v>
      </c>
      <c r="M32" s="199">
        <v>4</v>
      </c>
      <c r="N32" s="199">
        <v>5</v>
      </c>
      <c r="O32" s="199">
        <v>6</v>
      </c>
      <c r="P32" s="199">
        <v>7</v>
      </c>
      <c r="Q32" s="199">
        <v>8</v>
      </c>
      <c r="R32" s="193">
        <v>9</v>
      </c>
    </row>
    <row r="33" spans="1:24">
      <c r="A33" s="15" t="s">
        <v>23</v>
      </c>
      <c r="B33" s="22">
        <v>1</v>
      </c>
      <c r="C33" s="182">
        <f t="shared" ref="C33:C38" si="15">C5</f>
        <v>63600</v>
      </c>
      <c r="D33" s="190">
        <f t="shared" ref="D33:D38" si="16">E5</f>
        <v>6400</v>
      </c>
      <c r="E33" s="190">
        <f t="shared" ref="E33:E38" si="17">G5</f>
        <v>12700</v>
      </c>
      <c r="F33" s="190">
        <f t="shared" ref="F33:F38" si="18">I5</f>
        <v>19100</v>
      </c>
      <c r="G33" s="190">
        <f t="shared" ref="G33:G38" si="19">K5</f>
        <v>19100</v>
      </c>
      <c r="H33" s="190">
        <f t="shared" ref="H33:H38" si="20">N5</f>
        <v>19100</v>
      </c>
      <c r="I33" s="190">
        <f t="shared" ref="I33:I38" si="21">Q5</f>
        <v>19100</v>
      </c>
      <c r="J33" s="401">
        <f t="shared" ref="J33:J38" si="22">T5</f>
        <v>19100</v>
      </c>
      <c r="K33" s="190">
        <f t="shared" ref="K33:K38" si="23">W5</f>
        <v>19100</v>
      </c>
      <c r="L33" s="205">
        <f t="shared" ref="L33:L38" si="24">Z5</f>
        <v>19100</v>
      </c>
      <c r="M33" s="404">
        <f t="shared" ref="M33:M38" si="25">L5</f>
        <v>6300</v>
      </c>
      <c r="N33" s="200">
        <f t="shared" ref="N33:N38" si="26">O5</f>
        <v>12700</v>
      </c>
      <c r="O33" s="200">
        <f t="shared" ref="O33:O38" si="27">R5</f>
        <v>22200</v>
      </c>
      <c r="P33" s="200">
        <f t="shared" ref="P33:P38" si="28">U5</f>
        <v>31800</v>
      </c>
      <c r="Q33" s="200">
        <f t="shared" ref="Q33:Q38" si="29">X5</f>
        <v>44500</v>
      </c>
      <c r="R33" s="196">
        <f t="shared" ref="R33:R38" si="30">AA5</f>
        <v>60400</v>
      </c>
      <c r="S33" s="16"/>
    </row>
    <row r="34" spans="1:24">
      <c r="A34" s="17"/>
      <c r="B34" s="23">
        <v>2</v>
      </c>
      <c r="C34" s="183">
        <f t="shared" si="15"/>
        <v>67400</v>
      </c>
      <c r="D34" s="191">
        <f t="shared" si="16"/>
        <v>6700</v>
      </c>
      <c r="E34" s="191">
        <f t="shared" si="17"/>
        <v>13500</v>
      </c>
      <c r="F34" s="191">
        <f t="shared" si="18"/>
        <v>20200</v>
      </c>
      <c r="G34" s="191">
        <f t="shared" si="19"/>
        <v>20200</v>
      </c>
      <c r="H34" s="191">
        <f t="shared" si="20"/>
        <v>20200</v>
      </c>
      <c r="I34" s="191">
        <f t="shared" si="21"/>
        <v>20200</v>
      </c>
      <c r="J34" s="402">
        <f t="shared" si="22"/>
        <v>20200</v>
      </c>
      <c r="K34" s="191">
        <f t="shared" si="23"/>
        <v>20200</v>
      </c>
      <c r="L34" s="207">
        <f t="shared" si="24"/>
        <v>20200</v>
      </c>
      <c r="M34" s="405">
        <f t="shared" si="25"/>
        <v>6800</v>
      </c>
      <c r="N34" s="201">
        <f t="shared" si="26"/>
        <v>13500</v>
      </c>
      <c r="O34" s="201">
        <f t="shared" si="27"/>
        <v>23600</v>
      </c>
      <c r="P34" s="201">
        <f t="shared" si="28"/>
        <v>33700</v>
      </c>
      <c r="Q34" s="201">
        <f t="shared" si="29"/>
        <v>47200</v>
      </c>
      <c r="R34" s="197">
        <f t="shared" si="30"/>
        <v>64100</v>
      </c>
      <c r="S34" s="18"/>
    </row>
    <row r="35" spans="1:24">
      <c r="A35" s="17"/>
      <c r="B35" s="23">
        <v>3</v>
      </c>
      <c r="C35" s="183">
        <f t="shared" si="15"/>
        <v>71100</v>
      </c>
      <c r="D35" s="191">
        <f t="shared" si="16"/>
        <v>7100</v>
      </c>
      <c r="E35" s="191">
        <f t="shared" si="17"/>
        <v>14200</v>
      </c>
      <c r="F35" s="191">
        <f t="shared" si="18"/>
        <v>21300</v>
      </c>
      <c r="G35" s="191">
        <f t="shared" si="19"/>
        <v>21300</v>
      </c>
      <c r="H35" s="191">
        <f t="shared" si="20"/>
        <v>21300</v>
      </c>
      <c r="I35" s="191">
        <f t="shared" si="21"/>
        <v>21300</v>
      </c>
      <c r="J35" s="402">
        <f t="shared" si="22"/>
        <v>21300</v>
      </c>
      <c r="K35" s="191">
        <f t="shared" si="23"/>
        <v>21300</v>
      </c>
      <c r="L35" s="207">
        <f t="shared" si="24"/>
        <v>21300</v>
      </c>
      <c r="M35" s="405">
        <f t="shared" si="25"/>
        <v>7100</v>
      </c>
      <c r="N35" s="201">
        <f t="shared" si="26"/>
        <v>14300</v>
      </c>
      <c r="O35" s="201">
        <f t="shared" si="27"/>
        <v>24900</v>
      </c>
      <c r="P35" s="201">
        <f t="shared" si="28"/>
        <v>35600</v>
      </c>
      <c r="Q35" s="201">
        <f t="shared" si="29"/>
        <v>49800</v>
      </c>
      <c r="R35" s="197">
        <f t="shared" si="30"/>
        <v>67600</v>
      </c>
      <c r="S35" s="18"/>
    </row>
    <row r="36" spans="1:24">
      <c r="A36" s="17"/>
      <c r="B36" s="23">
        <v>4</v>
      </c>
      <c r="C36" s="183">
        <f t="shared" si="15"/>
        <v>75200</v>
      </c>
      <c r="D36" s="191">
        <f t="shared" si="16"/>
        <v>7500</v>
      </c>
      <c r="E36" s="191">
        <f t="shared" si="17"/>
        <v>15000</v>
      </c>
      <c r="F36" s="191">
        <f t="shared" si="18"/>
        <v>22600</v>
      </c>
      <c r="G36" s="191">
        <f t="shared" si="19"/>
        <v>22600</v>
      </c>
      <c r="H36" s="191">
        <f t="shared" si="20"/>
        <v>22600</v>
      </c>
      <c r="I36" s="191">
        <f t="shared" si="21"/>
        <v>22600</v>
      </c>
      <c r="J36" s="402">
        <f t="shared" si="22"/>
        <v>22600</v>
      </c>
      <c r="K36" s="191">
        <f t="shared" si="23"/>
        <v>22600</v>
      </c>
      <c r="L36" s="207">
        <f t="shared" si="24"/>
        <v>22600</v>
      </c>
      <c r="M36" s="405">
        <f t="shared" si="25"/>
        <v>7500</v>
      </c>
      <c r="N36" s="201">
        <f t="shared" si="26"/>
        <v>15000</v>
      </c>
      <c r="O36" s="201">
        <f t="shared" si="27"/>
        <v>26300</v>
      </c>
      <c r="P36" s="201">
        <f t="shared" si="28"/>
        <v>37600</v>
      </c>
      <c r="Q36" s="201">
        <f t="shared" si="29"/>
        <v>52600</v>
      </c>
      <c r="R36" s="197">
        <f t="shared" si="30"/>
        <v>71400</v>
      </c>
      <c r="S36" s="18"/>
      <c r="X36" s="54"/>
    </row>
    <row r="37" spans="1:24">
      <c r="A37" s="17"/>
      <c r="B37" s="23">
        <v>5</v>
      </c>
      <c r="C37" s="183">
        <f t="shared" si="15"/>
        <v>78900</v>
      </c>
      <c r="D37" s="191">
        <f t="shared" si="16"/>
        <v>7900</v>
      </c>
      <c r="E37" s="191">
        <f t="shared" si="17"/>
        <v>15800</v>
      </c>
      <c r="F37" s="191">
        <f t="shared" si="18"/>
        <v>23700</v>
      </c>
      <c r="G37" s="191">
        <f t="shared" si="19"/>
        <v>23700</v>
      </c>
      <c r="H37" s="191">
        <f t="shared" si="20"/>
        <v>23700</v>
      </c>
      <c r="I37" s="191">
        <f t="shared" si="21"/>
        <v>23700</v>
      </c>
      <c r="J37" s="402">
        <f t="shared" si="22"/>
        <v>23700</v>
      </c>
      <c r="K37" s="191">
        <f t="shared" si="23"/>
        <v>23700</v>
      </c>
      <c r="L37" s="207">
        <f t="shared" si="24"/>
        <v>23700</v>
      </c>
      <c r="M37" s="405">
        <f t="shared" si="25"/>
        <v>7900</v>
      </c>
      <c r="N37" s="201">
        <f t="shared" si="26"/>
        <v>15800</v>
      </c>
      <c r="O37" s="201">
        <f t="shared" si="27"/>
        <v>27600</v>
      </c>
      <c r="P37" s="201">
        <f t="shared" si="28"/>
        <v>39400</v>
      </c>
      <c r="Q37" s="201">
        <f t="shared" si="29"/>
        <v>55200</v>
      </c>
      <c r="R37" s="197">
        <f t="shared" si="30"/>
        <v>74900</v>
      </c>
      <c r="S37" s="18"/>
    </row>
    <row r="38" spans="1:24" ht="13" thickBot="1">
      <c r="A38" s="19"/>
      <c r="B38" s="24">
        <v>6</v>
      </c>
      <c r="C38" s="184">
        <f t="shared" si="15"/>
        <v>82700</v>
      </c>
      <c r="D38" s="192">
        <f t="shared" si="16"/>
        <v>8300</v>
      </c>
      <c r="E38" s="192">
        <f t="shared" si="17"/>
        <v>16500</v>
      </c>
      <c r="F38" s="192">
        <f t="shared" si="18"/>
        <v>24800</v>
      </c>
      <c r="G38" s="192">
        <f t="shared" si="19"/>
        <v>24800</v>
      </c>
      <c r="H38" s="192">
        <f t="shared" si="20"/>
        <v>24800</v>
      </c>
      <c r="I38" s="192">
        <f t="shared" si="21"/>
        <v>24800</v>
      </c>
      <c r="J38" s="403">
        <f t="shared" si="22"/>
        <v>24800</v>
      </c>
      <c r="K38" s="192">
        <f t="shared" si="23"/>
        <v>24800</v>
      </c>
      <c r="L38" s="209">
        <f t="shared" si="24"/>
        <v>24800</v>
      </c>
      <c r="M38" s="406">
        <f t="shared" si="25"/>
        <v>8300</v>
      </c>
      <c r="N38" s="202">
        <f t="shared" si="26"/>
        <v>16600</v>
      </c>
      <c r="O38" s="202">
        <f t="shared" si="27"/>
        <v>29000</v>
      </c>
      <c r="P38" s="202">
        <f t="shared" si="28"/>
        <v>41400</v>
      </c>
      <c r="Q38" s="202">
        <f t="shared" si="29"/>
        <v>57900</v>
      </c>
      <c r="R38" s="198">
        <f t="shared" si="30"/>
        <v>78600</v>
      </c>
      <c r="S38" s="12"/>
    </row>
    <row r="39" spans="1:24">
      <c r="D39">
        <f>IF(Asst_curr_scale_Off=1,IF(Asst_curr_step_Off&lt;&gt;0,LOOKUP(Asst_curr_step_Off,AsstSteps_Off,HST1_Off),0),0)</f>
        <v>0</v>
      </c>
      <c r="E39">
        <f>IF(Asst_curr_scale_Off=2,IF(Asst_curr_step_Off&lt;&gt;0,LOOKUP(Asst_curr_step_Off,AsstSteps_Off,HST2_Off),0),0)</f>
        <v>0</v>
      </c>
      <c r="F39">
        <f>IF(Asst_curr_scale_Off=3,IF(Asst_curr_step_Off&lt;&gt;0,LOOKUP(Asst_curr_step_Off,AsstSteps_Off,HST3_Off),0),0)</f>
        <v>0</v>
      </c>
      <c r="G39">
        <f>IF(Asst_curr_scale_Off=4,IF(Asst_curr_step_Off&lt;&gt;0,LOOKUP(Asst_curr_step_Off,AsstSteps_Off,HST4_Off),0),0)</f>
        <v>0</v>
      </c>
      <c r="H39">
        <f>IF(Asst_curr_scale_Off=5,IF(Asst_curr_step_Off&lt;&gt;0,LOOKUP(Asst_curr_step_Off,AsstSteps_Off,HST5_Off),0),0)</f>
        <v>0</v>
      </c>
      <c r="I39">
        <f>IF(Asst_curr_scale_Off=6,IF(Asst_curr_step_Off&lt;&gt;0,LOOKUP(Asst_curr_step_Off,AsstSteps_Off,HST6_Off),0),0)</f>
        <v>0</v>
      </c>
      <c r="J39">
        <f>IF(Asst_curr_scale_Off=7,IF(Asst_curr_step_Off&lt;&gt;0,LOOKUP(Asst_curr_step_Off,AsstSteps_Off,HST7_Off),0),0)</f>
        <v>0</v>
      </c>
      <c r="K39">
        <f>IF(Asst_curr_scale_Off=8,IF(Asst_curr_step_Off&lt;&gt;0,LOOKUP(Asst_curr_step_Off,AsstSteps_Off,K33:K38),0),0)</f>
        <v>0</v>
      </c>
      <c r="L39">
        <f>IF(Asst_curr_scale_Off=9,IF(Asst_curr_step_Off&lt;&gt;0,LOOKUP(Asst_curr_step_Off,AsstSteps_Off,L33:L38),0),0)</f>
        <v>0</v>
      </c>
      <c r="M39">
        <f>IF(Asst_curr_scale_Off=4,IF(Asst_curr_step_Off&lt;&gt;0,LOOKUP(Asst_curr_step_Off,AsstSteps_Off,M33:M38),0),0)</f>
        <v>0</v>
      </c>
      <c r="N39">
        <f>IF(Asst_curr_scale_Off=5,IF(Asst_curr_step_Off&lt;&gt;0,LOOKUP(Asst_curr_step_Off,AsstSteps_Off,N33:N38),0),0)</f>
        <v>0</v>
      </c>
      <c r="O39">
        <f>IF(Asst_curr_scale_Off=6,IF(Asst_curr_step_Off&lt;&gt;0,LOOKUP(Asst_curr_step_Off,AsstSteps_Off,O33:O38),0),0)</f>
        <v>0</v>
      </c>
      <c r="P39">
        <f>IF(Asst_curr_scale_Off=7,IF(Asst_curr_step_Off&lt;&gt;0,LOOKUP(Asst_curr_step_Off,AsstSteps_Off,P33:P38),0),0)</f>
        <v>0</v>
      </c>
      <c r="Q39">
        <f>IF(Asst_curr_scale_Off=8,IF(Asst_curr_step_Off&lt;&gt;0,LOOKUP(Asst_curr_step_Off,AsstSteps_Off,Q33:Q38),0),0)</f>
        <v>0</v>
      </c>
      <c r="R39">
        <f>IF(Asst_curr_scale_Off=9,IF(Asst_curr_step_Off&lt;&gt;0,LOOKUP(Asst_curr_step_Off,AsstSteps_Off,R33:R38),0),0)</f>
        <v>0</v>
      </c>
      <c r="X39" s="54"/>
    </row>
    <row r="40" spans="1:24">
      <c r="A40" t="s">
        <v>29</v>
      </c>
      <c r="B40">
        <f>OffScaleCalc!E33</f>
        <v>0</v>
      </c>
    </row>
    <row r="41" spans="1:24">
      <c r="A41" t="s">
        <v>1</v>
      </c>
      <c r="B41">
        <f>IF(AND(Associate_Off="",Prof_Off="",Instructor_Off=""),Scale_Off,0)</f>
        <v>0</v>
      </c>
    </row>
    <row r="44" spans="1:24" ht="13" thickBot="1">
      <c r="A44" s="46" t="s">
        <v>28</v>
      </c>
      <c r="C44" s="203" t="s">
        <v>2</v>
      </c>
      <c r="D44" s="204">
        <v>1</v>
      </c>
      <c r="E44" s="204">
        <v>2</v>
      </c>
      <c r="F44" s="204">
        <v>3</v>
      </c>
      <c r="G44" s="204">
        <v>4</v>
      </c>
      <c r="H44" s="204">
        <v>5</v>
      </c>
      <c r="I44" s="204">
        <v>6</v>
      </c>
      <c r="J44" s="204">
        <v>7</v>
      </c>
      <c r="K44" s="204">
        <v>8</v>
      </c>
      <c r="L44" s="185">
        <v>9</v>
      </c>
      <c r="M44" s="199">
        <v>4</v>
      </c>
      <c r="N44" s="199">
        <v>5</v>
      </c>
      <c r="O44" s="199">
        <v>6</v>
      </c>
      <c r="P44" s="199">
        <v>7</v>
      </c>
      <c r="Q44" s="199">
        <v>8</v>
      </c>
      <c r="R44" s="199">
        <v>9</v>
      </c>
    </row>
    <row r="45" spans="1:24">
      <c r="A45" s="15" t="s">
        <v>24</v>
      </c>
      <c r="B45" s="22">
        <v>1</v>
      </c>
      <c r="C45" s="182">
        <f>C11</f>
        <v>79000</v>
      </c>
      <c r="D45" s="190">
        <f>E11</f>
        <v>7900</v>
      </c>
      <c r="E45" s="190">
        <f>G11</f>
        <v>15800</v>
      </c>
      <c r="F45" s="190">
        <f>I11</f>
        <v>23700</v>
      </c>
      <c r="G45" s="190">
        <f>K11</f>
        <v>23700</v>
      </c>
      <c r="H45" s="190">
        <f>N11</f>
        <v>23700</v>
      </c>
      <c r="I45" s="206">
        <f>Q11</f>
        <v>23700</v>
      </c>
      <c r="J45" s="190">
        <f>T11</f>
        <v>23700</v>
      </c>
      <c r="K45" s="190">
        <f>W11</f>
        <v>23700</v>
      </c>
      <c r="L45" s="205">
        <f>Z11</f>
        <v>23700</v>
      </c>
      <c r="M45" s="404">
        <f>L11</f>
        <v>7900</v>
      </c>
      <c r="N45" s="200">
        <f>O11</f>
        <v>15800</v>
      </c>
      <c r="O45" s="200">
        <f>R11</f>
        <v>27700</v>
      </c>
      <c r="P45" s="200">
        <f>U11</f>
        <v>39500</v>
      </c>
      <c r="Q45" s="200">
        <f>X11</f>
        <v>55300</v>
      </c>
      <c r="R45" s="196">
        <f>AA11</f>
        <v>75100</v>
      </c>
      <c r="S45" s="16"/>
    </row>
    <row r="46" spans="1:24">
      <c r="A46" s="17"/>
      <c r="B46" s="23">
        <v>2</v>
      </c>
      <c r="C46" s="183">
        <f>C12</f>
        <v>82800</v>
      </c>
      <c r="D46" s="191">
        <f>E12</f>
        <v>8300</v>
      </c>
      <c r="E46" s="191">
        <f>G12</f>
        <v>16600</v>
      </c>
      <c r="F46" s="191">
        <f>I12</f>
        <v>24800</v>
      </c>
      <c r="G46" s="191">
        <f>K12</f>
        <v>24800</v>
      </c>
      <c r="H46" s="191">
        <f>N12</f>
        <v>24800</v>
      </c>
      <c r="I46" s="208">
        <f>Q12</f>
        <v>24800</v>
      </c>
      <c r="J46" s="191">
        <f>T12</f>
        <v>24800</v>
      </c>
      <c r="K46" s="191">
        <f>W12</f>
        <v>24800</v>
      </c>
      <c r="L46" s="207">
        <f>Z12</f>
        <v>24800</v>
      </c>
      <c r="M46" s="405">
        <f>L12</f>
        <v>8300</v>
      </c>
      <c r="N46" s="201">
        <f>O12</f>
        <v>16600</v>
      </c>
      <c r="O46" s="201">
        <f>R12</f>
        <v>29000</v>
      </c>
      <c r="P46" s="201">
        <f>U12</f>
        <v>41400</v>
      </c>
      <c r="Q46" s="201">
        <f>X12</f>
        <v>58000</v>
      </c>
      <c r="R46" s="197">
        <f>AA12</f>
        <v>78700</v>
      </c>
      <c r="S46" s="18"/>
    </row>
    <row r="47" spans="1:24">
      <c r="A47" s="17"/>
      <c r="B47" s="23">
        <v>3</v>
      </c>
      <c r="C47" s="183">
        <f>C13</f>
        <v>87400</v>
      </c>
      <c r="D47" s="191">
        <f>E13</f>
        <v>8700</v>
      </c>
      <c r="E47" s="191">
        <f>G13</f>
        <v>17500</v>
      </c>
      <c r="F47" s="191">
        <f>I13</f>
        <v>26200</v>
      </c>
      <c r="G47" s="191">
        <f>K13</f>
        <v>26200</v>
      </c>
      <c r="H47" s="191">
        <f>N13</f>
        <v>26200</v>
      </c>
      <c r="I47" s="208">
        <f>Q13</f>
        <v>26200</v>
      </c>
      <c r="J47" s="191">
        <f>T13</f>
        <v>26200</v>
      </c>
      <c r="K47" s="191">
        <f>W13</f>
        <v>26200</v>
      </c>
      <c r="L47" s="207">
        <f>Z13</f>
        <v>26200</v>
      </c>
      <c r="M47" s="405">
        <f>L13</f>
        <v>8800</v>
      </c>
      <c r="N47" s="201">
        <f>O13</f>
        <v>17500</v>
      </c>
      <c r="O47" s="201">
        <f>R13</f>
        <v>30600</v>
      </c>
      <c r="P47" s="201">
        <f>U13</f>
        <v>43700</v>
      </c>
      <c r="Q47" s="201">
        <f>X13</f>
        <v>61200</v>
      </c>
      <c r="R47" s="197">
        <f>AA13</f>
        <v>83100</v>
      </c>
      <c r="S47" s="18"/>
    </row>
    <row r="48" spans="1:24">
      <c r="A48" s="17"/>
      <c r="B48" s="23">
        <v>4</v>
      </c>
      <c r="C48" s="183">
        <f>C14</f>
        <v>92800</v>
      </c>
      <c r="D48" s="191">
        <f>E14</f>
        <v>9300</v>
      </c>
      <c r="E48" s="191">
        <f>G14</f>
        <v>18600</v>
      </c>
      <c r="F48" s="191">
        <f>I14</f>
        <v>27800</v>
      </c>
      <c r="G48" s="191">
        <f>K14</f>
        <v>27800</v>
      </c>
      <c r="H48" s="191">
        <f>N14</f>
        <v>27800</v>
      </c>
      <c r="I48" s="208">
        <f>Q14</f>
        <v>27800</v>
      </c>
      <c r="J48" s="191">
        <f>T14</f>
        <v>27800</v>
      </c>
      <c r="K48" s="191">
        <f>W14</f>
        <v>27800</v>
      </c>
      <c r="L48" s="207">
        <f>Z14</f>
        <v>27800</v>
      </c>
      <c r="M48" s="405">
        <f>L14</f>
        <v>9300</v>
      </c>
      <c r="N48" s="201">
        <f>O14</f>
        <v>18600</v>
      </c>
      <c r="O48" s="201">
        <f>R14</f>
        <v>32500</v>
      </c>
      <c r="P48" s="201">
        <f>U14</f>
        <v>46400</v>
      </c>
      <c r="Q48" s="201">
        <f>X14</f>
        <v>65000</v>
      </c>
      <c r="R48" s="197">
        <f>AA14</f>
        <v>88200</v>
      </c>
      <c r="S48" s="18"/>
    </row>
    <row r="49" spans="1:19" ht="13" thickBot="1">
      <c r="A49" s="19"/>
      <c r="B49" s="24">
        <v>5</v>
      </c>
      <c r="C49" s="184">
        <f>C15</f>
        <v>100000</v>
      </c>
      <c r="D49" s="192">
        <f>E15</f>
        <v>10000</v>
      </c>
      <c r="E49" s="192">
        <f>G15</f>
        <v>20000</v>
      </c>
      <c r="F49" s="192">
        <f>I15</f>
        <v>30000</v>
      </c>
      <c r="G49" s="192">
        <f>K15</f>
        <v>30000</v>
      </c>
      <c r="H49" s="192">
        <f>N15</f>
        <v>30000</v>
      </c>
      <c r="I49" s="210">
        <f>Q15</f>
        <v>30000</v>
      </c>
      <c r="J49" s="192">
        <f>T15</f>
        <v>30000</v>
      </c>
      <c r="K49" s="192">
        <f>W15</f>
        <v>30000</v>
      </c>
      <c r="L49" s="209">
        <f>Z15</f>
        <v>30000</v>
      </c>
      <c r="M49" s="406">
        <f>L15</f>
        <v>10000</v>
      </c>
      <c r="N49" s="202">
        <f>O15</f>
        <v>20000</v>
      </c>
      <c r="O49" s="202">
        <f>R15</f>
        <v>35000</v>
      </c>
      <c r="P49" s="202">
        <f>U15</f>
        <v>50000</v>
      </c>
      <c r="Q49" s="202">
        <f>X15</f>
        <v>70000</v>
      </c>
      <c r="R49" s="198">
        <f>AA15</f>
        <v>95000</v>
      </c>
      <c r="S49" s="12"/>
    </row>
    <row r="50" spans="1:19">
      <c r="C50" s="203"/>
      <c r="D50" s="203">
        <f>IF(Assoc_curr_scale_Off=1,IF(Assoc_curr_step_Off&lt;&gt;0,LOOKUP(Assoc_curr_step_Off,AssocSteps_Off,HST1_AP_Off),0),0)</f>
        <v>0</v>
      </c>
      <c r="E50" s="203">
        <f>IF(Assoc_curr_scale_Off=2,IF(Assoc_curr_step_Off&lt;&gt;0,LOOKUP(Assoc_curr_step_Off,AssocSteps_Off,HST2_AP_Off),0),0)</f>
        <v>0</v>
      </c>
      <c r="F50" s="203">
        <f>IF(Assoc_curr_scale_Off=3,IF(Assoc_curr_step_Off&lt;&gt;0,LOOKUP(Assoc_curr_step_Off,AssocSteps_Off,HST3_AP_Off),0),0)</f>
        <v>0</v>
      </c>
      <c r="G50" s="203">
        <f>IF(Assoc_curr_scale_Off=4,IF(Assoc_curr_step_Off&lt;&gt;0,LOOKUP(Assoc_curr_step_Off,AssocSteps_Off,HST4_AP_Off),0),0)</f>
        <v>0</v>
      </c>
      <c r="H50" s="203">
        <f>IF(Assoc_curr_scale_Off=5,IF(Assoc_curr_step_Off&lt;&gt;0,LOOKUP(Assoc_curr_step_Off,AssocSteps_Off,HST5_AP_Off),0),0)</f>
        <v>0</v>
      </c>
      <c r="I50" s="203">
        <f>IF(Assoc_curr_scale_Off=6,IF(Assoc_curr_step_Off&lt;&gt;0,LOOKUP(Assoc_curr_step_Off,AssocSteps_Off,HST6_AP_Off),0),0)</f>
        <v>0</v>
      </c>
      <c r="J50" s="203">
        <f>IF(Assoc_curr_scale_Off=7,IF(Assoc_curr_step_Off&lt;&gt;0,LOOKUP(Assoc_curr_step_Off,AssocSteps_Off,HST7_AP_Off),0),0)</f>
        <v>0</v>
      </c>
      <c r="K50" s="203">
        <f>IF(Assoc_curr_scale_Off=8,IF(Assoc_curr_step_Off&lt;&gt;0,LOOKUP(Assoc_curr_step_Off,AssocSteps_Off,K45:K49),0),0)</f>
        <v>0</v>
      </c>
      <c r="L50" s="203">
        <f>IF(Assoc_curr_scale_Off=9,IF(Assoc_curr_step_Off&lt;&gt;0,LOOKUP(Assoc_curr_step_Off,AssocSteps_Off,L45:L49),0),0)</f>
        <v>0</v>
      </c>
      <c r="M50" s="211">
        <f>IF(Assoc_curr_scale_Off=4,IF(Assoc_curr_step_Off&lt;&gt;0,LOOKUP(Assoc_curr_step_Off,AssocSteps_Off,M45:M49),0),0)</f>
        <v>0</v>
      </c>
      <c r="N50" s="211">
        <f>IF(Assoc_curr_scale_Off=5,IF(Assoc_curr_step_Off&lt;&gt;0,LOOKUP(Assoc_curr_step_Off,AssocSteps_Off,N45:N49),0),0)</f>
        <v>0</v>
      </c>
      <c r="O50" s="211">
        <f>IF(Assoc_curr_scale_Off=6,IF(Assoc_curr_step_Off&lt;&gt;0,LOOKUP(Assoc_curr_step_Off,AssocSteps_Off,O45:O49),0),0)</f>
        <v>0</v>
      </c>
      <c r="P50" s="211">
        <f>IF(Assoc_curr_scale_Off=7,IF(Assoc_curr_step_Off&lt;&gt;0,LOOKUP(Assoc_curr_step_Off,AssocSteps_Off,P45:P49),0),0)</f>
        <v>0</v>
      </c>
      <c r="Q50" s="211">
        <f>IF(Assoc_curr_scale_Off=8,IF(Assoc_curr_step_Off&lt;&gt;0,LOOKUP(Assoc_curr_step_Off,AssocSteps_Off,Q45:Q49),0),0)</f>
        <v>0</v>
      </c>
      <c r="R50" s="211">
        <f>IF(Assoc_curr_scale_Off=9,IF(Assoc_curr_step_Off&lt;&gt;0,LOOKUP(Assoc_curr_step_Off,AssocSteps_Off,R45:R49),0),0)</f>
        <v>0</v>
      </c>
    </row>
    <row r="51" spans="1:19">
      <c r="A51" t="s">
        <v>21</v>
      </c>
      <c r="B51">
        <f>OffScaleCalc!E34</f>
        <v>0</v>
      </c>
    </row>
    <row r="52" spans="1:19">
      <c r="A52" t="s">
        <v>19</v>
      </c>
      <c r="B52">
        <f>IF(AND(Assistant_Off="",Prof_Off="",Instructor_Off=""),Scale_Off,0)</f>
        <v>0</v>
      </c>
    </row>
    <row r="55" spans="1:19" ht="13" thickBot="1">
      <c r="A55" s="46" t="s">
        <v>28</v>
      </c>
      <c r="C55" s="203" t="s">
        <v>2</v>
      </c>
      <c r="D55" s="204">
        <v>1</v>
      </c>
      <c r="E55" s="204">
        <v>2</v>
      </c>
      <c r="F55" s="204">
        <v>3</v>
      </c>
      <c r="G55" s="204">
        <v>4</v>
      </c>
      <c r="H55" s="204">
        <v>5</v>
      </c>
      <c r="I55" s="204">
        <v>6</v>
      </c>
      <c r="J55" s="204">
        <v>7</v>
      </c>
      <c r="K55" s="204">
        <v>8</v>
      </c>
      <c r="L55" s="185">
        <v>9</v>
      </c>
      <c r="M55" s="199">
        <v>4</v>
      </c>
      <c r="N55" s="199">
        <v>5</v>
      </c>
      <c r="O55" s="199">
        <v>6</v>
      </c>
      <c r="P55" s="199">
        <v>7</v>
      </c>
      <c r="Q55" s="199">
        <v>8</v>
      </c>
      <c r="R55" s="193">
        <v>9</v>
      </c>
    </row>
    <row r="56" spans="1:19">
      <c r="A56" s="15" t="s">
        <v>25</v>
      </c>
      <c r="B56" s="22">
        <v>1</v>
      </c>
      <c r="C56" s="182">
        <f t="shared" ref="C56:C64" si="31">C16</f>
        <v>92900</v>
      </c>
      <c r="D56" s="190">
        <f>E16</f>
        <v>9300</v>
      </c>
      <c r="E56" s="190">
        <f>G16</f>
        <v>18600</v>
      </c>
      <c r="F56" s="190">
        <f>I16</f>
        <v>27900</v>
      </c>
      <c r="G56" s="190">
        <f>K16</f>
        <v>27900</v>
      </c>
      <c r="H56" s="190">
        <f>N16</f>
        <v>27900</v>
      </c>
      <c r="I56" s="206">
        <f>Q16</f>
        <v>27900</v>
      </c>
      <c r="J56" s="190">
        <f>T16</f>
        <v>27900</v>
      </c>
      <c r="K56" s="190">
        <f>W16</f>
        <v>27900</v>
      </c>
      <c r="L56" s="205">
        <f>Z16</f>
        <v>27900</v>
      </c>
      <c r="M56" s="404">
        <f>L16</f>
        <v>9300</v>
      </c>
      <c r="N56" s="200">
        <f>O16</f>
        <v>18600</v>
      </c>
      <c r="O56" s="200">
        <f>R16</f>
        <v>32500</v>
      </c>
      <c r="P56" s="200">
        <f>U16</f>
        <v>46400</v>
      </c>
      <c r="Q56" s="200">
        <f>X16</f>
        <v>65000</v>
      </c>
      <c r="R56" s="196">
        <f>AA16</f>
        <v>88200</v>
      </c>
      <c r="S56" s="16"/>
    </row>
    <row r="57" spans="1:19">
      <c r="A57" s="17"/>
      <c r="B57" s="23">
        <v>2</v>
      </c>
      <c r="C57" s="183">
        <f t="shared" si="31"/>
        <v>100100</v>
      </c>
      <c r="D57" s="191">
        <f t="shared" ref="D57:D64" si="32">E17</f>
        <v>10000</v>
      </c>
      <c r="E57" s="191">
        <f t="shared" ref="E57:E63" si="33">G17</f>
        <v>20000</v>
      </c>
      <c r="F57" s="191">
        <f t="shared" ref="F57:F63" si="34">I17</f>
        <v>30000</v>
      </c>
      <c r="G57" s="191">
        <f t="shared" ref="G57:G63" si="35">K17</f>
        <v>30000</v>
      </c>
      <c r="H57" s="191">
        <f t="shared" ref="H57:H63" si="36">N17</f>
        <v>30000</v>
      </c>
      <c r="I57" s="208">
        <f t="shared" ref="I57:I63" si="37">Q17</f>
        <v>30000</v>
      </c>
      <c r="J57" s="191">
        <f t="shared" ref="J57:J63" si="38">T17</f>
        <v>30000</v>
      </c>
      <c r="K57" s="191">
        <f t="shared" ref="K57:K64" si="39">W17</f>
        <v>30000</v>
      </c>
      <c r="L57" s="207">
        <f t="shared" ref="L57:L64" si="40">Z17</f>
        <v>30000</v>
      </c>
      <c r="M57" s="405">
        <f t="shared" ref="M57:M64" si="41">L17</f>
        <v>10000</v>
      </c>
      <c r="N57" s="201">
        <f t="shared" ref="N57:N64" si="42">O17</f>
        <v>20100</v>
      </c>
      <c r="O57" s="201">
        <f t="shared" ref="O57:O64" si="43">R17</f>
        <v>35100</v>
      </c>
      <c r="P57" s="201">
        <f t="shared" ref="P57:P64" si="44">U17</f>
        <v>50100</v>
      </c>
      <c r="Q57" s="201">
        <f t="shared" ref="Q57:Q64" si="45">X17</f>
        <v>70100</v>
      </c>
      <c r="R57" s="197">
        <f t="shared" ref="R57:R64" si="46">AA17</f>
        <v>95100</v>
      </c>
      <c r="S57" s="18"/>
    </row>
    <row r="58" spans="1:19">
      <c r="A58" s="17"/>
      <c r="B58" s="23">
        <v>3</v>
      </c>
      <c r="C58" s="183">
        <f t="shared" si="31"/>
        <v>107400</v>
      </c>
      <c r="D58" s="191">
        <f t="shared" si="32"/>
        <v>10700</v>
      </c>
      <c r="E58" s="191">
        <f t="shared" si="33"/>
        <v>21500</v>
      </c>
      <c r="F58" s="191">
        <f t="shared" si="34"/>
        <v>32200</v>
      </c>
      <c r="G58" s="191">
        <f t="shared" si="35"/>
        <v>32200</v>
      </c>
      <c r="H58" s="191">
        <f t="shared" si="36"/>
        <v>32200</v>
      </c>
      <c r="I58" s="208">
        <f t="shared" si="37"/>
        <v>32200</v>
      </c>
      <c r="J58" s="191">
        <f t="shared" si="38"/>
        <v>32200</v>
      </c>
      <c r="K58" s="191">
        <f t="shared" si="39"/>
        <v>32200</v>
      </c>
      <c r="L58" s="207">
        <f t="shared" si="40"/>
        <v>32200</v>
      </c>
      <c r="M58" s="405">
        <f t="shared" si="41"/>
        <v>10800</v>
      </c>
      <c r="N58" s="201">
        <f t="shared" si="42"/>
        <v>21500</v>
      </c>
      <c r="O58" s="201">
        <f t="shared" si="43"/>
        <v>37600</v>
      </c>
      <c r="P58" s="201">
        <f t="shared" si="44"/>
        <v>53700</v>
      </c>
      <c r="Q58" s="201">
        <f t="shared" si="45"/>
        <v>75200</v>
      </c>
      <c r="R58" s="197">
        <f t="shared" si="46"/>
        <v>102100</v>
      </c>
      <c r="S58" s="18"/>
    </row>
    <row r="59" spans="1:19">
      <c r="A59" s="17"/>
      <c r="B59" s="23">
        <v>4</v>
      </c>
      <c r="C59" s="183">
        <f t="shared" si="31"/>
        <v>115200</v>
      </c>
      <c r="D59" s="191">
        <f t="shared" si="32"/>
        <v>11500</v>
      </c>
      <c r="E59" s="191">
        <f t="shared" si="33"/>
        <v>23000</v>
      </c>
      <c r="F59" s="191">
        <f t="shared" si="34"/>
        <v>34600</v>
      </c>
      <c r="G59" s="191">
        <f t="shared" si="35"/>
        <v>34600</v>
      </c>
      <c r="H59" s="191">
        <f t="shared" si="36"/>
        <v>34600</v>
      </c>
      <c r="I59" s="208">
        <f t="shared" si="37"/>
        <v>34600</v>
      </c>
      <c r="J59" s="191">
        <f t="shared" si="38"/>
        <v>34600</v>
      </c>
      <c r="K59" s="191">
        <f t="shared" si="39"/>
        <v>34600</v>
      </c>
      <c r="L59" s="207">
        <f t="shared" si="40"/>
        <v>34600</v>
      </c>
      <c r="M59" s="405">
        <f t="shared" si="41"/>
        <v>11500</v>
      </c>
      <c r="N59" s="201">
        <f t="shared" si="42"/>
        <v>23000</v>
      </c>
      <c r="O59" s="201">
        <f t="shared" si="43"/>
        <v>40300</v>
      </c>
      <c r="P59" s="201">
        <f t="shared" si="44"/>
        <v>57600</v>
      </c>
      <c r="Q59" s="201">
        <f t="shared" si="45"/>
        <v>80600</v>
      </c>
      <c r="R59" s="197">
        <f t="shared" si="46"/>
        <v>109400</v>
      </c>
      <c r="S59" s="18"/>
    </row>
    <row r="60" spans="1:19">
      <c r="A60" s="17"/>
      <c r="B60" s="23">
        <v>5</v>
      </c>
      <c r="C60" s="183">
        <f t="shared" si="31"/>
        <v>123400</v>
      </c>
      <c r="D60" s="191">
        <f t="shared" si="32"/>
        <v>12300</v>
      </c>
      <c r="E60" s="191">
        <f t="shared" si="33"/>
        <v>24700</v>
      </c>
      <c r="F60" s="191">
        <f t="shared" si="34"/>
        <v>37000</v>
      </c>
      <c r="G60" s="191">
        <f t="shared" si="35"/>
        <v>37000</v>
      </c>
      <c r="H60" s="191">
        <f t="shared" si="36"/>
        <v>37000</v>
      </c>
      <c r="I60" s="208">
        <f t="shared" si="37"/>
        <v>37000</v>
      </c>
      <c r="J60" s="191">
        <f t="shared" si="38"/>
        <v>37000</v>
      </c>
      <c r="K60" s="191">
        <f t="shared" si="39"/>
        <v>37000</v>
      </c>
      <c r="L60" s="207">
        <f t="shared" si="40"/>
        <v>37000</v>
      </c>
      <c r="M60" s="405">
        <f t="shared" si="41"/>
        <v>12400</v>
      </c>
      <c r="N60" s="201">
        <f t="shared" si="42"/>
        <v>24700</v>
      </c>
      <c r="O60" s="201">
        <f t="shared" si="43"/>
        <v>43200</v>
      </c>
      <c r="P60" s="201">
        <f t="shared" si="44"/>
        <v>61700</v>
      </c>
      <c r="Q60" s="201">
        <f t="shared" si="45"/>
        <v>86400</v>
      </c>
      <c r="R60" s="197">
        <f t="shared" si="46"/>
        <v>117300</v>
      </c>
      <c r="S60" s="18"/>
    </row>
    <row r="61" spans="1:19">
      <c r="A61" s="17"/>
      <c r="B61" s="23">
        <v>6</v>
      </c>
      <c r="C61" s="183">
        <f t="shared" si="31"/>
        <v>133600</v>
      </c>
      <c r="D61" s="191">
        <f t="shared" si="32"/>
        <v>13400</v>
      </c>
      <c r="E61" s="191">
        <f t="shared" si="33"/>
        <v>26700</v>
      </c>
      <c r="F61" s="191">
        <f t="shared" si="34"/>
        <v>40100</v>
      </c>
      <c r="G61" s="191">
        <f t="shared" si="35"/>
        <v>40100</v>
      </c>
      <c r="H61" s="191">
        <f t="shared" si="36"/>
        <v>40100</v>
      </c>
      <c r="I61" s="208">
        <f t="shared" si="37"/>
        <v>40100</v>
      </c>
      <c r="J61" s="191">
        <f t="shared" si="38"/>
        <v>40100</v>
      </c>
      <c r="K61" s="191">
        <f t="shared" si="39"/>
        <v>40100</v>
      </c>
      <c r="L61" s="207">
        <f t="shared" si="40"/>
        <v>40100</v>
      </c>
      <c r="M61" s="405">
        <f t="shared" si="41"/>
        <v>13300</v>
      </c>
      <c r="N61" s="201">
        <f t="shared" si="42"/>
        <v>26700</v>
      </c>
      <c r="O61" s="201">
        <f t="shared" si="43"/>
        <v>46700</v>
      </c>
      <c r="P61" s="201">
        <f t="shared" si="44"/>
        <v>66800</v>
      </c>
      <c r="Q61" s="201">
        <f t="shared" si="45"/>
        <v>93500</v>
      </c>
      <c r="R61" s="197">
        <f t="shared" si="46"/>
        <v>126900</v>
      </c>
      <c r="S61" s="18"/>
    </row>
    <row r="62" spans="1:19">
      <c r="A62" s="17"/>
      <c r="B62" s="23">
        <v>7</v>
      </c>
      <c r="C62" s="183">
        <f t="shared" si="31"/>
        <v>144600</v>
      </c>
      <c r="D62" s="191">
        <f t="shared" si="32"/>
        <v>14500</v>
      </c>
      <c r="E62" s="191">
        <f t="shared" si="33"/>
        <v>28900</v>
      </c>
      <c r="F62" s="191">
        <f t="shared" si="34"/>
        <v>43400</v>
      </c>
      <c r="G62" s="191">
        <f t="shared" si="35"/>
        <v>43400</v>
      </c>
      <c r="H62" s="191">
        <f t="shared" si="36"/>
        <v>43400</v>
      </c>
      <c r="I62" s="208">
        <f t="shared" si="37"/>
        <v>43400</v>
      </c>
      <c r="J62" s="191">
        <f t="shared" si="38"/>
        <v>43400</v>
      </c>
      <c r="K62" s="191">
        <f t="shared" si="39"/>
        <v>43400</v>
      </c>
      <c r="L62" s="207">
        <f t="shared" si="40"/>
        <v>43400</v>
      </c>
      <c r="M62" s="405">
        <f t="shared" si="41"/>
        <v>14400</v>
      </c>
      <c r="N62" s="201">
        <f t="shared" si="42"/>
        <v>28900</v>
      </c>
      <c r="O62" s="201">
        <f t="shared" si="43"/>
        <v>50600</v>
      </c>
      <c r="P62" s="201">
        <f t="shared" si="44"/>
        <v>72300</v>
      </c>
      <c r="Q62" s="201">
        <f t="shared" si="45"/>
        <v>101200</v>
      </c>
      <c r="R62" s="197">
        <f t="shared" si="46"/>
        <v>137400</v>
      </c>
      <c r="S62" s="18"/>
    </row>
    <row r="63" spans="1:19" ht="13" thickBot="1">
      <c r="A63" s="368"/>
      <c r="B63" s="23">
        <v>8</v>
      </c>
      <c r="C63" s="183">
        <f t="shared" si="31"/>
        <v>156600</v>
      </c>
      <c r="D63" s="191">
        <f t="shared" si="32"/>
        <v>15700</v>
      </c>
      <c r="E63" s="191">
        <f t="shared" si="33"/>
        <v>31300</v>
      </c>
      <c r="F63" s="191">
        <f t="shared" si="34"/>
        <v>47000</v>
      </c>
      <c r="G63" s="191">
        <f t="shared" si="35"/>
        <v>47000</v>
      </c>
      <c r="H63" s="191">
        <f t="shared" si="36"/>
        <v>47000</v>
      </c>
      <c r="I63" s="208">
        <f t="shared" si="37"/>
        <v>47000</v>
      </c>
      <c r="J63" s="191">
        <f t="shared" si="38"/>
        <v>47000</v>
      </c>
      <c r="K63" s="191">
        <f t="shared" si="39"/>
        <v>47000</v>
      </c>
      <c r="L63" s="207">
        <f t="shared" si="40"/>
        <v>47000</v>
      </c>
      <c r="M63" s="405">
        <f t="shared" si="41"/>
        <v>15600</v>
      </c>
      <c r="N63" s="201">
        <f t="shared" si="42"/>
        <v>31300</v>
      </c>
      <c r="O63" s="201">
        <f t="shared" si="43"/>
        <v>54800</v>
      </c>
      <c r="P63" s="201">
        <f t="shared" si="44"/>
        <v>78300</v>
      </c>
      <c r="Q63" s="201">
        <f t="shared" si="45"/>
        <v>109600</v>
      </c>
      <c r="R63" s="197">
        <f t="shared" si="46"/>
        <v>148800</v>
      </c>
      <c r="S63" s="12"/>
    </row>
    <row r="64" spans="1:19" ht="13" thickBot="1">
      <c r="A64" s="373"/>
      <c r="B64" s="369">
        <v>9</v>
      </c>
      <c r="C64" s="370">
        <f t="shared" si="31"/>
        <v>169600</v>
      </c>
      <c r="D64" s="371">
        <f t="shared" si="32"/>
        <v>17000</v>
      </c>
      <c r="E64" s="371">
        <f>G24</f>
        <v>33900</v>
      </c>
      <c r="F64" s="371">
        <f>I24</f>
        <v>50900</v>
      </c>
      <c r="G64" s="371">
        <f>K24</f>
        <v>50900</v>
      </c>
      <c r="H64" s="371">
        <f>N24</f>
        <v>50900</v>
      </c>
      <c r="I64" s="372">
        <f>Q24</f>
        <v>50900</v>
      </c>
      <c r="J64" s="192">
        <f>T24</f>
        <v>50900</v>
      </c>
      <c r="K64" s="192">
        <f t="shared" si="39"/>
        <v>50900</v>
      </c>
      <c r="L64" s="209">
        <f t="shared" si="40"/>
        <v>50900</v>
      </c>
      <c r="M64" s="406">
        <f t="shared" si="41"/>
        <v>16900</v>
      </c>
      <c r="N64" s="202">
        <f t="shared" si="42"/>
        <v>33900</v>
      </c>
      <c r="O64" s="202">
        <f t="shared" si="43"/>
        <v>59300</v>
      </c>
      <c r="P64" s="202">
        <f t="shared" si="44"/>
        <v>84800</v>
      </c>
      <c r="Q64" s="202">
        <f t="shared" si="45"/>
        <v>118700</v>
      </c>
      <c r="R64" s="198">
        <f t="shared" si="46"/>
        <v>161100</v>
      </c>
      <c r="S64" s="35"/>
    </row>
    <row r="65" spans="1:18">
      <c r="D65">
        <f>IF(Prof_curr_scale_Off=1,IF(Prof_curr_step_Off&lt;&gt;0,LOOKUP(Prof_curr_step_Off,ProfSteps_Off,HST1_P_Off),0),0)</f>
        <v>0</v>
      </c>
      <c r="E65">
        <f>IF(Prof_curr_scale_Off=2,IF(Prof_curr_step_Off&lt;&gt;0,LOOKUP(Prof_curr_step_Off,ProfSteps_Off,HST2_P_Off),0),0)</f>
        <v>0</v>
      </c>
      <c r="F65">
        <f>IF(Prof_curr_scale_Off=3,IF(Prof_curr_step_Off&lt;&gt;0,LOOKUP(Prof_curr_step_Off,ProfSteps_Off,HST3_P_Off),0),0)</f>
        <v>0</v>
      </c>
      <c r="G65">
        <f>IF(Prof_curr_scale_Off=4,IF(Prof_curr_step_Off&lt;&gt;0,LOOKUP(Prof_curr_step_Off,ProfSteps_Off,HST4_P_Off),0),0)</f>
        <v>0</v>
      </c>
      <c r="H65">
        <f>IF(Prof_curr_scale_Off=5,IF(Prof_curr_step_Off&lt;&gt;0,LOOKUP(Prof_curr_step_Off,ProfSteps_Off,HST5_P_Off),0),0)</f>
        <v>0</v>
      </c>
      <c r="I65">
        <f>IF(Prof_curr_scale_Off=6,IF(Prof_curr_step_Off&lt;&gt;0,LOOKUP(Prof_curr_step_Off,ProfSteps_Off,HST6_P_Off),0),0)</f>
        <v>0</v>
      </c>
      <c r="J65">
        <f>IF(Prof_curr_scale_Off=7,IF(Prof_curr_step_Off&lt;&gt;0,LOOKUP(Prof_curr_step_Off,ProfSteps_Off,HST7_P_Off),0),0)</f>
        <v>0</v>
      </c>
      <c r="K65">
        <f>IF(Prof_curr_scale_Off=8,IF(Prof_curr_step_Off&lt;&gt;0,LOOKUP(Prof_curr_step_Off,ProfSteps_Off,K56:K64),0),0)</f>
        <v>0</v>
      </c>
      <c r="L65">
        <f>IF(Prof_curr_scale_Off=9,IF(Prof_curr_step_Off&lt;&gt;0,LOOKUP(Prof_curr_step_Off,ProfSteps_Off,L56:L64),0),0)</f>
        <v>0</v>
      </c>
      <c r="M65">
        <f>IF(Prof_curr_scale_Off=4,IF(Prof_curr_step_Off&lt;&gt;0,LOOKUP(Prof_curr_step_Off,ProfSteps_Off,M56:M64),0),0)</f>
        <v>0</v>
      </c>
      <c r="N65">
        <f>IF(Prof_curr_scale_Off=5,IF(Prof_curr_step_Off&lt;&gt;0,LOOKUP(Prof_curr_step_Off,ProfSteps_Off,N56:N64),0),0)</f>
        <v>0</v>
      </c>
      <c r="O65">
        <f>IF(Prof_curr_scale_Off=6,IF(Prof_curr_step_Off&lt;&gt;0,LOOKUP(Prof_curr_step_Off,ProfSteps_Off,O56:O64),0),0)</f>
        <v>0</v>
      </c>
      <c r="P65">
        <f>IF(Prof_curr_scale_Off=7,IF(Prof_curr_step_Off&lt;&gt;0,LOOKUP(Prof_curr_step_Off,ProfSteps_Off,P56:P64),0),0)</f>
        <v>0</v>
      </c>
      <c r="Q65">
        <f>IF(Prof_curr_scale_Off=8,IF(Prof_curr_step_Off&lt;&gt;0,LOOKUP(Prof_curr_step_Off,ProfSteps_Off,Q56:Q64),0),0)</f>
        <v>0</v>
      </c>
      <c r="R65">
        <f>IF(Prof_curr_scale_Off=9,IF(Prof_curr_step_Off&lt;&gt;0,LOOKUP(Prof_curr_step_Off,ProfSteps_Off,R56:R64),0),0)</f>
        <v>0</v>
      </c>
    </row>
    <row r="66" spans="1:18">
      <c r="A66" t="s">
        <v>21</v>
      </c>
      <c r="B66">
        <f>OffScaleCalc!E35</f>
        <v>0</v>
      </c>
    </row>
    <row r="67" spans="1:18">
      <c r="A67" t="s">
        <v>19</v>
      </c>
      <c r="B67">
        <f>IF(AND(Assistant_Off="",Associate_Off="",Instructor_Off=""),Scale_Off,0)</f>
        <v>0</v>
      </c>
    </row>
  </sheetData>
  <sheetProtection password="C7E2" sheet="1" objects="1" scenarios="1"/>
  <phoneticPr fontId="0" type="noConversion"/>
  <pageMargins left="0.25" right="0.25" top="1" bottom="1" header="0.5" footer="0.5"/>
  <pageSetup orientation="landscape" horizontalDpi="4294967292"/>
  <headerFooter>
    <oddHeader>&amp;CHSCP SALARY SCALES - ANNUAL_x000D_Effective October 1, 2006</oddHeader>
    <oddFooter>&amp;Lsalscl_oct06.xls</oddFooter>
  </headerFooter>
  <colBreaks count="1" manualBreakCount="1">
    <brk id="15" min="1" max="23" man="1"/>
  </colBreak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1"/>
  <sheetViews>
    <sheetView zoomScale="125" zoomScaleNormal="125" zoomScalePageLayoutView="125" workbookViewId="0">
      <selection activeCell="B26" sqref="B26"/>
    </sheetView>
  </sheetViews>
  <sheetFormatPr baseColWidth="10" defaultRowHeight="12" x14ac:dyDescent="0"/>
  <cols>
    <col min="2" max="2" width="19.5" customWidth="1"/>
    <col min="3" max="3" width="24.5" customWidth="1"/>
    <col min="4" max="4" width="21.83203125" customWidth="1"/>
    <col min="5" max="5" width="22.5" customWidth="1"/>
    <col min="6" max="6" width="23" customWidth="1"/>
    <col min="7" max="7" width="24.33203125" customWidth="1"/>
  </cols>
  <sheetData>
    <row r="1" spans="2:7" ht="14" customHeight="1">
      <c r="B1" s="521"/>
      <c r="C1" s="521"/>
      <c r="D1" s="521"/>
      <c r="E1" s="521"/>
    </row>
    <row r="2" spans="2:7" ht="59" customHeight="1">
      <c r="B2" s="686" t="s">
        <v>156</v>
      </c>
      <c r="C2" s="686"/>
      <c r="D2" s="686"/>
      <c r="E2" s="686"/>
      <c r="F2" s="686"/>
    </row>
    <row r="3" spans="2:7" ht="13" thickBot="1"/>
    <row r="4" spans="2:7" ht="31" thickBot="1">
      <c r="B4" s="522" t="s">
        <v>157</v>
      </c>
      <c r="C4" s="523" t="s">
        <v>158</v>
      </c>
      <c r="D4" s="523" t="s">
        <v>159</v>
      </c>
      <c r="E4" s="523" t="s">
        <v>160</v>
      </c>
      <c r="F4" s="523" t="s">
        <v>161</v>
      </c>
      <c r="G4" s="524" t="s">
        <v>162</v>
      </c>
    </row>
    <row r="5" spans="2:7" ht="46" thickBot="1">
      <c r="B5" s="525" t="s">
        <v>163</v>
      </c>
      <c r="C5" s="526" t="s">
        <v>164</v>
      </c>
      <c r="D5" s="527">
        <v>199700</v>
      </c>
      <c r="E5" s="526" t="s">
        <v>165</v>
      </c>
      <c r="F5" s="526" t="s">
        <v>166</v>
      </c>
      <c r="G5" s="528" t="s">
        <v>167</v>
      </c>
    </row>
    <row r="6" spans="2:7" ht="23" customHeight="1">
      <c r="B6" s="688" t="s">
        <v>168</v>
      </c>
      <c r="C6" s="688" t="s">
        <v>169</v>
      </c>
      <c r="D6" s="529" t="s">
        <v>170</v>
      </c>
      <c r="E6" s="688" t="s">
        <v>172</v>
      </c>
      <c r="F6" s="688" t="s">
        <v>173</v>
      </c>
      <c r="G6" s="688" t="s">
        <v>167</v>
      </c>
    </row>
    <row r="7" spans="2:7" ht="46" thickBot="1">
      <c r="B7" s="689"/>
      <c r="C7" s="689"/>
      <c r="D7" s="526" t="s">
        <v>171</v>
      </c>
      <c r="E7" s="689"/>
      <c r="F7" s="689"/>
      <c r="G7" s="689"/>
    </row>
    <row r="8" spans="2:7" ht="33" customHeight="1">
      <c r="B8" s="688" t="s">
        <v>168</v>
      </c>
      <c r="C8" s="688" t="s">
        <v>174</v>
      </c>
      <c r="D8" s="529" t="s">
        <v>170</v>
      </c>
      <c r="E8" s="688" t="s">
        <v>176</v>
      </c>
      <c r="F8" s="688" t="s">
        <v>173</v>
      </c>
      <c r="G8" s="688" t="s">
        <v>167</v>
      </c>
    </row>
    <row r="9" spans="2:7" ht="46" thickBot="1">
      <c r="B9" s="689"/>
      <c r="C9" s="689"/>
      <c r="D9" s="526" t="s">
        <v>175</v>
      </c>
      <c r="E9" s="689"/>
      <c r="F9" s="689"/>
      <c r="G9" s="689"/>
    </row>
    <row r="10" spans="2:7" ht="31" thickBot="1">
      <c r="B10" s="525" t="s">
        <v>177</v>
      </c>
      <c r="C10" s="526" t="s">
        <v>169</v>
      </c>
      <c r="D10" s="527">
        <v>179700</v>
      </c>
      <c r="E10" s="526" t="s">
        <v>178</v>
      </c>
      <c r="F10" s="526" t="s">
        <v>179</v>
      </c>
      <c r="G10" s="526" t="s">
        <v>167</v>
      </c>
    </row>
    <row r="11" spans="2:7" ht="46" thickBot="1">
      <c r="B11" s="525" t="s">
        <v>177</v>
      </c>
      <c r="C11" s="526" t="s">
        <v>174</v>
      </c>
      <c r="D11" s="527">
        <v>179700</v>
      </c>
      <c r="E11" s="526" t="s">
        <v>176</v>
      </c>
      <c r="F11" s="526" t="s">
        <v>179</v>
      </c>
      <c r="G11" s="526" t="s">
        <v>167</v>
      </c>
    </row>
    <row r="14" spans="2:7" ht="23" customHeight="1">
      <c r="B14" s="542" t="s">
        <v>180</v>
      </c>
      <c r="C14" s="542"/>
      <c r="D14" s="542"/>
      <c r="E14" s="542"/>
      <c r="F14" s="542"/>
      <c r="G14" s="542"/>
    </row>
    <row r="15" spans="2:7" ht="19" customHeight="1">
      <c r="B15" s="687" t="s">
        <v>181</v>
      </c>
      <c r="C15" s="687"/>
      <c r="D15" s="687"/>
      <c r="E15" s="687"/>
      <c r="F15" s="687"/>
      <c r="G15" s="687"/>
    </row>
    <row r="17" spans="2:6">
      <c r="B17" s="545" t="s">
        <v>182</v>
      </c>
      <c r="C17" s="545"/>
      <c r="D17" s="545"/>
      <c r="E17" s="545"/>
      <c r="F17" s="545"/>
    </row>
    <row r="18" spans="2:6">
      <c r="B18" s="263" t="s">
        <v>183</v>
      </c>
      <c r="C18" s="520"/>
      <c r="D18" s="520"/>
      <c r="E18" s="520"/>
      <c r="F18" s="520"/>
    </row>
    <row r="19" spans="2:6">
      <c r="B19" s="263" t="s">
        <v>184</v>
      </c>
    </row>
    <row r="21" spans="2:6">
      <c r="B21" s="520" t="s">
        <v>191</v>
      </c>
    </row>
  </sheetData>
  <mergeCells count="14">
    <mergeCell ref="B2:F2"/>
    <mergeCell ref="B14:G14"/>
    <mergeCell ref="B15:G15"/>
    <mergeCell ref="B17:F17"/>
    <mergeCell ref="B6:B7"/>
    <mergeCell ref="C6:C7"/>
    <mergeCell ref="E6:E7"/>
    <mergeCell ref="F6:F7"/>
    <mergeCell ref="G6:G7"/>
    <mergeCell ref="B8:B9"/>
    <mergeCell ref="C8:C9"/>
    <mergeCell ref="E8:E9"/>
    <mergeCell ref="F8:F9"/>
    <mergeCell ref="G8:G9"/>
  </mergeCells>
  <hyperlinks>
    <hyperlink ref="B14" r:id="rId1"/>
    <hyperlink ref="C14" r:id="rId2" display="http://report.nih.gov/FileLink.aspx?rid=824"/>
    <hyperlink ref="D14" r:id="rId3" display="http://report.nih.gov/FileLink.aspx?rid=824"/>
    <hyperlink ref="E14" r:id="rId4" display="http://report.nih.gov/FileLink.aspx?rid=824"/>
    <hyperlink ref="F14" r:id="rId5" display="http://report.nih.gov/FileLink.aspx?rid=824"/>
    <hyperlink ref="G14" r:id="rId6" display="http://report.nih.gov/FileLink.aspx?rid=824"/>
    <hyperlink ref="B15" r:id="rId7"/>
    <hyperlink ref="C15" r:id="rId8" display="http://grants.nih.gov/grants/guide/notice-files/NOT-OD-12-035.html"/>
    <hyperlink ref="D15" r:id="rId9" display="http://grants.nih.gov/grants/guide/notice-files/NOT-OD-12-035.html"/>
    <hyperlink ref="E15" r:id="rId10" display="http://grants.nih.gov/grants/guide/notice-files/NOT-OD-12-035.html"/>
    <hyperlink ref="F15" r:id="rId11" display="http://grants.nih.gov/grants/guide/notice-files/NOT-OD-12-035.html"/>
    <hyperlink ref="G15" r:id="rId12" display="http://grants.nih.gov/grants/guide/notice-files/NOT-OD-12-035.html"/>
    <hyperlink ref="B19" r:id="rId13"/>
    <hyperlink ref="B18" r:id="rId14"/>
  </hyperlink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9</vt:i4>
      </vt:variant>
    </vt:vector>
  </HeadingPairs>
  <TitlesOfParts>
    <vt:vector size="9" baseType="lpstr">
      <vt:lpstr>OnScaleCalc</vt:lpstr>
      <vt:lpstr>OffScaleCalc</vt:lpstr>
      <vt:lpstr>AboveScaleCalc</vt:lpstr>
      <vt:lpstr>GenlInstr</vt:lpstr>
      <vt:lpstr>OffScaleInstr</vt:lpstr>
      <vt:lpstr>AboveScaleInstr</vt:lpstr>
      <vt:lpstr>PayScale</vt:lpstr>
      <vt:lpstr>Payscale_Off</vt:lpstr>
      <vt:lpstr>NIH Salary CAP Guidance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Mead, Sally</dc:creator>
  <cp:lastModifiedBy>Wilson Hardcastle</cp:lastModifiedBy>
  <cp:lastPrinted>2012-02-04T00:52:09Z</cp:lastPrinted>
  <dcterms:created xsi:type="dcterms:W3CDTF">1997-07-17T19:35:58Z</dcterms:created>
  <dcterms:modified xsi:type="dcterms:W3CDTF">2012-09-14T23:59:52Z</dcterms:modified>
</cp:coreProperties>
</file>