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autoCompressPictures="0"/>
  <bookViews>
    <workbookView xWindow="12825" yWindow="105" windowWidth="15825" windowHeight="12540" tabRatio="686"/>
  </bookViews>
  <sheets>
    <sheet name="OnScaleCalc" sheetId="1" r:id="rId1"/>
    <sheet name="OffScaleCalc" sheetId="18" r:id="rId2"/>
    <sheet name="AboveScaleCalc" sheetId="19" r:id="rId3"/>
    <sheet name="GenlInstr" sheetId="14" r:id="rId4"/>
    <sheet name="OffScaleInstr" sheetId="15" r:id="rId5"/>
    <sheet name="AboveScaleInstr" sheetId="16" r:id="rId6"/>
    <sheet name="PayScale" sheetId="2" r:id="rId7"/>
    <sheet name="Payscale_Off" sheetId="4" r:id="rId8"/>
    <sheet name="NIH Salary CAP Guidance" sheetId="20" r:id="rId9"/>
  </sheets>
  <definedNames>
    <definedName name="_HSR4">PayScale!$K$34:$K$39</definedName>
    <definedName name="_HSR5">PayScale!$L$34:$L$39</definedName>
    <definedName name="_HSR6">PayScale!$M$34:$M$39</definedName>
    <definedName name="_HSR7">PayScale!$N$34:$N$39</definedName>
    <definedName name="_HST1">PayScale!$D$34:$D$39</definedName>
    <definedName name="_HST2">PayScale!$E$34:$E$39</definedName>
    <definedName name="_HST3">PayScale!$F$34:$F$39</definedName>
    <definedName name="_HST4">PayScale!$G$34:$G$39</definedName>
    <definedName name="_HST5">PayScale!$H$34:$H$39</definedName>
    <definedName name="_HST6">PayScale!$I$34:$I$39</definedName>
    <definedName name="_HST7">PayScale!$J$34:$J$39</definedName>
    <definedName name="Above_Scale_Minimum">PayScale!$B$73:$E$83</definedName>
    <definedName name="Annual_Salary" localSheetId="2">AboveScaleCalc!$Q$37</definedName>
    <definedName name="Annual_Salary" localSheetId="1">OffScaleCalc!$Q$37</definedName>
    <definedName name="Annual_Salary">OnScaleCalc!$Q$37</definedName>
    <definedName name="Annual_Salary_above">#REF!</definedName>
    <definedName name="Annual_Salary_Off">OffScaleCalc!$Q$34</definedName>
    <definedName name="Assistant" localSheetId="2">AboveScaleCalc!$H$34</definedName>
    <definedName name="Assistant">OnScaleCalc!$H$34</definedName>
    <definedName name="Assistant_Off">OffScaleCalc!$H$34</definedName>
    <definedName name="Assoc_Base" localSheetId="2">AboveScaleCalc!$M$35</definedName>
    <definedName name="Assoc_Base">OnScaleCalc!$M$35</definedName>
    <definedName name="Assoc_base_Off">OffScaleCalc!$M$35</definedName>
    <definedName name="Assoc_curr_scale">PayScale!$B$53</definedName>
    <definedName name="Assoc_curr_scale_Off">Payscale_Off!$B$52</definedName>
    <definedName name="Assoc_curr_step">PayScale!$B$52</definedName>
    <definedName name="Assoc_curr_step_Off">Payscale_Off!$B$51</definedName>
    <definedName name="Assoc_Prof">PayScale!$B$11:$U$15</definedName>
    <definedName name="Assoc_Prof_Off">Payscale_Off!$B$11:$U$15</definedName>
    <definedName name="Assoc_Tot_HSR">PayScale!$M$51:$R$51</definedName>
    <definedName name="Assoc_Tot_HSR_Off">Payscale_Off!$M$50:$R$50</definedName>
    <definedName name="Assoc_Tot_HST">PayScale!$D$51:$L$51</definedName>
    <definedName name="Assoc_Tot_HST_Off">Payscale_Off!$D$50:$L$50</definedName>
    <definedName name="Associate" localSheetId="2">AboveScaleCalc!$H$35</definedName>
    <definedName name="Associate">OnScaleCalc!$H$35</definedName>
    <definedName name="Associate_Off">OffScaleCalc!$H$35</definedName>
    <definedName name="AssocSteps">PayScale!$B$46:$B$50</definedName>
    <definedName name="AssocSteps_Off">Payscale_Off!$B$45:$B$49</definedName>
    <definedName name="Asst_Base" localSheetId="2">AboveScaleCalc!$M$34</definedName>
    <definedName name="Asst_Base">OnScaleCalc!$M$34</definedName>
    <definedName name="Asst_base_Off">OffScaleCalc!$M$34</definedName>
    <definedName name="Asst_curr_scale">PayScale!$B$42</definedName>
    <definedName name="Asst_curr_scale_Off">Payscale_Off!$B$41</definedName>
    <definedName name="Asst_curr_step">PayScale!$B$41</definedName>
    <definedName name="Asst_curr_step_Off">Payscale_Off!$B$40</definedName>
    <definedName name="Asst_Prof">PayScale!$B$5:$U$10</definedName>
    <definedName name="Asst_Prof_Off">Payscale_Off!$B$5:$U$10</definedName>
    <definedName name="Asst_Tot_HSR">PayScale!$M$40:$R$40</definedName>
    <definedName name="Asst_Tot_HSR_Off">Payscale_Off!$M$39:$R$39</definedName>
    <definedName name="Asst_Tot_HST">PayScale!$D$40:$L$40</definedName>
    <definedName name="Asst_Tot_HST_Off">Payscale_Off!$D$39:$L$39</definedName>
    <definedName name="AsstSteps">PayScale!$B$34:$B$39</definedName>
    <definedName name="AsstSteps_Off">Payscale_Off!$B$33:$B$38</definedName>
    <definedName name="DeptXList">#REF!</definedName>
    <definedName name="f" localSheetId="2">AboveScaleCalc!$Q$9</definedName>
    <definedName name="f" localSheetId="1">OffScaleCalc!$Q$9</definedName>
    <definedName name="f">OnScaleCalc!$Q$9</definedName>
    <definedName name="Fed_Limit" localSheetId="2">AboveScaleCalc!$Q$7</definedName>
    <definedName name="Fed_Limit" localSheetId="1">OffScaleCalc!$Q$7</definedName>
    <definedName name="Fed_Limit">OnScaleCalc!$Q$7</definedName>
    <definedName name="Fed_Limit_Above">#REF!</definedName>
    <definedName name="Fed_Limit_Off">#REF!</definedName>
    <definedName name="Five" localSheetId="2">AboveScaleCalc!$Q$9</definedName>
    <definedName name="Five" localSheetId="1">OffScaleCalc!$Q$9</definedName>
    <definedName name="Five">OnScaleCalc!$Q$9</definedName>
    <definedName name="Four" localSheetId="2">AboveScaleCalc!$Q$8</definedName>
    <definedName name="Four" localSheetId="1">OffScaleCalc!$Q$8</definedName>
    <definedName name="Four">OnScaleCalc!$Q$8</definedName>
    <definedName name="FY2003_NIH_Salary_Cap_1_1_04_Forward">OffScaleCalc!$O$22</definedName>
    <definedName name="HSR_I4">PayScale!$K$30</definedName>
    <definedName name="HSR_I4_Off">Payscale_Off!$K$29</definedName>
    <definedName name="HSR_I5">PayScale!$L$30</definedName>
    <definedName name="HSR_I5_Off">Payscale_Off!$L$29</definedName>
    <definedName name="HSR_I6">PayScale!$M$30</definedName>
    <definedName name="HSR_I6_Off">Payscale_Off!$M$29</definedName>
    <definedName name="HSR_I7">PayScale!$N$30</definedName>
    <definedName name="HSR_I7_Off">Payscale_Off!$N$29</definedName>
    <definedName name="HSR4_AP">PayScale!$K$46:$K$50</definedName>
    <definedName name="HSR4_AP_Off">Payscale_Off!$K$45:$K$49</definedName>
    <definedName name="HSR4_Off">Payscale_Off!$K$33:$K$38</definedName>
    <definedName name="HSR4_P">PayScale!$K$57:$K$65</definedName>
    <definedName name="HSR4_P_Off">Payscale_Off!$K$56:$K$64</definedName>
    <definedName name="HSR5_AP">PayScale!$L$46:$L$50</definedName>
    <definedName name="HSR5_AP_Off">Payscale_Off!$L$45:$L$49</definedName>
    <definedName name="HSR5_Off">Payscale_Off!$L$33:$L$38</definedName>
    <definedName name="HSR5_P">PayScale!$L$57:$L$65</definedName>
    <definedName name="HSR5_P_Off">Payscale_Off!$L$56:$L$64</definedName>
    <definedName name="HSR6_AP">PayScale!$M$46:$M$50</definedName>
    <definedName name="HSR6_AP_Off">Payscale_Off!$M$45:$M$49</definedName>
    <definedName name="HSR6_Off">Payscale_Off!$M$33:$M$38</definedName>
    <definedName name="HSR6_P">PayScale!$M$57:$M$65</definedName>
    <definedName name="HSR6_P_Off">Payscale_Off!$M$56:$M$64</definedName>
    <definedName name="HSR7_AP">PayScale!$N$46:$N$50</definedName>
    <definedName name="HSR7_AP_Off">Payscale_Off!$N$45:$N$49</definedName>
    <definedName name="HSR7_Off">Payscale_Off!$N$33:$N$38</definedName>
    <definedName name="HSR7_P">PayScale!$N$57:$N$65</definedName>
    <definedName name="HSR7_P_Off">Payscale_Off!$N$56:$N$64</definedName>
    <definedName name="HST_I1">PayScale!$D$30</definedName>
    <definedName name="HST_I1_Off">Payscale_Off!$D$29</definedName>
    <definedName name="HST_I2">PayScale!$E$30</definedName>
    <definedName name="HST_I2_Off">Payscale_Off!$E$29</definedName>
    <definedName name="HST_I3">PayScale!$F$30</definedName>
    <definedName name="HST_I3_off">Payscale_Off!$F$29</definedName>
    <definedName name="HST_I4">PayScale!$G$30</definedName>
    <definedName name="HST_I4_Off">Payscale_Off!$G$29</definedName>
    <definedName name="HST_I5">PayScale!$H$30</definedName>
    <definedName name="HST_I5_Off">Payscale_Off!$H$29</definedName>
    <definedName name="HST_I6">PayScale!$I$30</definedName>
    <definedName name="HST_I6_Off">Payscale_Off!$I$29</definedName>
    <definedName name="HST_I7">PayScale!$J$30</definedName>
    <definedName name="HST_I7_Off">Payscale_Off!$J$29</definedName>
    <definedName name="HST1_AP">PayScale!$D$46:$D$50</definedName>
    <definedName name="HST1_AP_Off">Payscale_Off!$D$45:$D$49</definedName>
    <definedName name="HST1_Off">Payscale_Off!$D$33:$D$38</definedName>
    <definedName name="HST1_P">PayScale!$D$57:$D$65</definedName>
    <definedName name="HST1_P_Off">Payscale_Off!$D$56:$D$64</definedName>
    <definedName name="HST2_AP">PayScale!$E$46:$E$50</definedName>
    <definedName name="HST2_AP_Off">Payscale_Off!$E$45:$E$49</definedName>
    <definedName name="HST2_Off">Payscale_Off!$E$33:$E$38</definedName>
    <definedName name="HST2_P">PayScale!$E$57:$E$65</definedName>
    <definedName name="HST2_P_Off">Payscale_Off!$E$56:$E$64</definedName>
    <definedName name="HST3_AP">PayScale!$F$46:$F$50</definedName>
    <definedName name="HST3_AP_Off">Payscale_Off!$F$45:$F$49</definedName>
    <definedName name="HST3_Off">Payscale_Off!$F$33:$F$38</definedName>
    <definedName name="HST3_P">PayScale!$F$57:$F$65</definedName>
    <definedName name="HST3_P_Off">Payscale_Off!$F$56:$F$64</definedName>
    <definedName name="HST4_AP">PayScale!$G$46:$G$50</definedName>
    <definedName name="HST4_AP_Off">Payscale_Off!$G$45:$G$49</definedName>
    <definedName name="HST4_Off">Payscale_Off!$G$33:$G$38</definedName>
    <definedName name="HST4_P">PayScale!$G$57:$G$65</definedName>
    <definedName name="HST4_P_Off">Payscale_Off!$G$56:$G$64</definedName>
    <definedName name="HST5_AP">PayScale!$H$46:$H$50</definedName>
    <definedName name="HST5_AP_Off">Payscale_Off!$H$45:$H$49</definedName>
    <definedName name="HST5_Off">Payscale_Off!$H$33:$H$38</definedName>
    <definedName name="HST5_P">PayScale!$H$57:$H$65</definedName>
    <definedName name="HST5_P_Off">Payscale_Off!$H$56:$H$64</definedName>
    <definedName name="HST6_AP">PayScale!$I$46:$I$50</definedName>
    <definedName name="HST6_AP_Off">Payscale_Off!$I$45:$I$49</definedName>
    <definedName name="HST6_Off">Payscale_Off!$I$33:$I$38</definedName>
    <definedName name="HST6_P">PayScale!$I$57:$I$65</definedName>
    <definedName name="HST6_P_Off">Payscale_Off!$I$56:$I$64</definedName>
    <definedName name="HST7_AP">PayScale!$J$46:$J$50</definedName>
    <definedName name="HST7_AP_Off">Payscale_Off!$J$45:$J$49</definedName>
    <definedName name="HST7_Off">Payscale_Off!$J$33:$J$38</definedName>
    <definedName name="HST7_P">PayScale!$J$57:$J$65</definedName>
    <definedName name="HST7_P_Off">Payscale_Off!$J$56:$J$64</definedName>
    <definedName name="Instr_base" localSheetId="2">AboveScaleCalc!$M$33</definedName>
    <definedName name="Instr_base">OnScaleCalc!$M$33</definedName>
    <definedName name="Instr_base_Off">OffScaleCalc!$M$33</definedName>
    <definedName name="Instr_curr_Scale">PayScale!$B$32</definedName>
    <definedName name="Instr_curr_Scale_off">Payscale_Off!$B$31</definedName>
    <definedName name="Instr_curr_Step">PayScale!$B$31</definedName>
    <definedName name="Instr_curr_Step_off">Payscale_Off!$B$30</definedName>
    <definedName name="Instr_Range">PayScale!$B$4:$U$4</definedName>
    <definedName name="Instr_Range_off">Payscale_Off!$B$4:$U$4</definedName>
    <definedName name="Instr_Tot_HSR">PayScale!$M$31:$R$31</definedName>
    <definedName name="Instr_Tot_HSR_off">Payscale_Off!$M$30:$R$30</definedName>
    <definedName name="Instr_Tot_HST">PayScale!$D$31:$L$31</definedName>
    <definedName name="Instr_Tot_HST_off">Payscale_Off!$D$30:$L$30</definedName>
    <definedName name="InstrSteps">PayScale!$B$30</definedName>
    <definedName name="InstrSteps_off">Payscale_Off!$B$29</definedName>
    <definedName name="Instructor" localSheetId="2">AboveScaleCalc!$H$33</definedName>
    <definedName name="Instructor">OnScaleCalc!$H$33</definedName>
    <definedName name="Instructor_Off">OffScaleCalc!$H$33</definedName>
    <definedName name="Match">#REF!</definedName>
    <definedName name="matchrange">#REF!</definedName>
    <definedName name="New_Fed_Limit" localSheetId="2">AboveScaleCalc!$Q$7</definedName>
    <definedName name="New_Fed_Limit" localSheetId="1">OffScaleCalc!$Q$7</definedName>
    <definedName name="New_Fed_Limit">OnScaleCalc!$Q$7</definedName>
    <definedName name="New_Fed_Limit_Above">#REF!</definedName>
    <definedName name="New_Fed_Limit_Off">#REF!</definedName>
    <definedName name="Old_Fed_Limit" localSheetId="2">AboveScaleCalc!$Q$5</definedName>
    <definedName name="Old_Fed_Limit" localSheetId="1">OffScaleCalc!$Q$5</definedName>
    <definedName name="Old_Fed_Limit">OnScaleCalc!$Q$5</definedName>
    <definedName name="Old_Fed_Limit_Above">#REF!</definedName>
    <definedName name="Old_Fed_Limit_Off">#REF!</definedName>
    <definedName name="OverCAP" localSheetId="2">AboveScaleCalc!$Q$22</definedName>
    <definedName name="OverCAP" localSheetId="1">OffScaleCalc!$Q$22</definedName>
    <definedName name="OverCAP">OnScaleCalc!$Q$22</definedName>
    <definedName name="OverCAP_above">#REF!</definedName>
    <definedName name="OverCAP_Off">#REF!</definedName>
    <definedName name="_xlnm.Print_Area" localSheetId="2">AboveScaleCalc!$A$1:$Z$68</definedName>
    <definedName name="_xlnm.Print_Area" localSheetId="1">OffScaleCalc!$A$1:$Z$73</definedName>
    <definedName name="_xlnm.Print_Area" localSheetId="0">OnScaleCalc!$A$1:$Z$71</definedName>
    <definedName name="_xlnm.Print_Area" localSheetId="7">Payscale_Off!$A$2:$AA$24</definedName>
    <definedName name="Print_Area_Off">#REF!</definedName>
    <definedName name="_xlnm.Print_Titles" localSheetId="7">Payscale_Off!$A:$A</definedName>
    <definedName name="Prof">OnScaleCalc!$H$36</definedName>
    <definedName name="Prof_Above">AboveScaleCalc!$H$36</definedName>
    <definedName name="Prof_Base">OnScaleCalc!$M$36</definedName>
    <definedName name="Prof_Base_Above">AboveScaleCalc!$M$36</definedName>
    <definedName name="Prof_base_Off">OffScaleCalc!$M$36</definedName>
    <definedName name="Prof_curr_scale">PayScale!$B$68</definedName>
    <definedName name="Prof_curr_scale_Off">Payscale_Off!$B$67</definedName>
    <definedName name="Prof_curr_step">PayScale!$B$67</definedName>
    <definedName name="Prof_curr_step_Off">Payscale_Off!$B$66</definedName>
    <definedName name="Prof_Off">OffScaleCalc!$H$36</definedName>
    <definedName name="Prof_Tot_HSR">PayScale!$M$66:$R$66</definedName>
    <definedName name="Prof_Tot_HSR_Off">Payscale_Off!$M$65:$R$65</definedName>
    <definedName name="Prof_Tot_HST">PayScale!$D$66:$L$66</definedName>
    <definedName name="Prof_Tot_HST_Off">Payscale_Off!$D$65:$L$65</definedName>
    <definedName name="professor">PayScale!$B$16:$U$24</definedName>
    <definedName name="Professor_Off">Payscale_Off!$B$16:$U$24</definedName>
    <definedName name="ProfSteps">PayScale!$B$57:$B$65</definedName>
    <definedName name="ProfSteps_Off">Payscale_Off!$B$56:$B$64</definedName>
    <definedName name="REG">OffScaleCalc!$M$33</definedName>
    <definedName name="SalaryLimits" localSheetId="2">AboveScaleCalc!$P$7:$Q$20</definedName>
    <definedName name="SalaryLimits" localSheetId="1">OffScaleCalc!$P$7:$Q$20</definedName>
    <definedName name="SalaryLimits">OnScaleCalc!$P$7:$Q$20</definedName>
    <definedName name="Scale">OnScaleCalc!$H$32</definedName>
    <definedName name="Scale_Above">AboveScaleCalc!$H$32</definedName>
    <definedName name="Scale_Off">OffScaleCalc!$H$32</definedName>
    <definedName name="Three" localSheetId="2">AboveScaleCalc!$Q$7</definedName>
    <definedName name="Three" localSheetId="1">OffScaleCalc!$Q$7</definedName>
    <definedName name="Three">OnScaleCalc!$Q$7</definedName>
    <definedName name="Two" localSheetId="2">AboveScaleCalc!$Q$6</definedName>
    <definedName name="Two" localSheetId="1">OffScaleCalc!$Q$6</definedName>
    <definedName name="Two">OnScaleCalc!$Q$6</definedName>
    <definedName name="XFactorSearch">#REF!</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AA24" i="4" l="1"/>
  <c r="Z24" i="4"/>
  <c r="X24" i="4"/>
  <c r="W24" i="4"/>
  <c r="U24" i="4"/>
  <c r="T24" i="4"/>
  <c r="R24" i="4"/>
  <c r="Q24" i="4"/>
  <c r="O24" i="4"/>
  <c r="N24" i="4"/>
  <c r="L24" i="4"/>
  <c r="K24" i="4"/>
  <c r="I24" i="4"/>
  <c r="G24" i="4"/>
  <c r="E24" i="4"/>
  <c r="AA23" i="4"/>
  <c r="X23" i="4"/>
  <c r="U23" i="4"/>
  <c r="R23" i="4"/>
  <c r="O23" i="4"/>
  <c r="L23" i="4"/>
  <c r="I23" i="4"/>
  <c r="Z23" i="4" s="1"/>
  <c r="G23" i="4"/>
  <c r="E23" i="4"/>
  <c r="AA22" i="4"/>
  <c r="Z22" i="4"/>
  <c r="X22" i="4"/>
  <c r="W22" i="4"/>
  <c r="U22" i="4"/>
  <c r="T22" i="4"/>
  <c r="R22" i="4"/>
  <c r="Q22" i="4"/>
  <c r="O22" i="4"/>
  <c r="N22" i="4"/>
  <c r="L22" i="4"/>
  <c r="K22" i="4"/>
  <c r="I22" i="4"/>
  <c r="G22" i="4"/>
  <c r="E22" i="4"/>
  <c r="AA21" i="4"/>
  <c r="X21" i="4"/>
  <c r="U21" i="4"/>
  <c r="R21" i="4"/>
  <c r="O21" i="4"/>
  <c r="L21" i="4"/>
  <c r="I21" i="4"/>
  <c r="W21" i="4" s="1"/>
  <c r="G21" i="4"/>
  <c r="E21" i="4"/>
  <c r="AA20" i="4"/>
  <c r="Z20" i="4"/>
  <c r="X20" i="4"/>
  <c r="W20" i="4"/>
  <c r="U20" i="4"/>
  <c r="T20" i="4"/>
  <c r="R20" i="4"/>
  <c r="Q20" i="4"/>
  <c r="O20" i="4"/>
  <c r="N20" i="4"/>
  <c r="L20" i="4"/>
  <c r="K20" i="4"/>
  <c r="I20" i="4"/>
  <c r="G20" i="4"/>
  <c r="E20" i="4"/>
  <c r="AA19" i="4"/>
  <c r="X19" i="4"/>
  <c r="U19" i="4"/>
  <c r="R19" i="4"/>
  <c r="O19" i="4"/>
  <c r="L19" i="4"/>
  <c r="I19" i="4"/>
  <c r="Z19" i="4" s="1"/>
  <c r="G19" i="4"/>
  <c r="E19" i="4"/>
  <c r="AA18" i="4"/>
  <c r="Z18" i="4"/>
  <c r="X18" i="4"/>
  <c r="W18" i="4"/>
  <c r="U18" i="4"/>
  <c r="T18" i="4"/>
  <c r="R18" i="4"/>
  <c r="Q18" i="4"/>
  <c r="O18" i="4"/>
  <c r="N18" i="4"/>
  <c r="L18" i="4"/>
  <c r="K18" i="4"/>
  <c r="I18" i="4"/>
  <c r="G18" i="4"/>
  <c r="E18" i="4"/>
  <c r="AA17" i="4"/>
  <c r="X17" i="4"/>
  <c r="U17" i="4"/>
  <c r="R17" i="4"/>
  <c r="O17" i="4"/>
  <c r="L17" i="4"/>
  <c r="I17" i="4"/>
  <c r="W17" i="4" s="1"/>
  <c r="G17" i="4"/>
  <c r="E17" i="4"/>
  <c r="AA16" i="4"/>
  <c r="Z16" i="4"/>
  <c r="X16" i="4"/>
  <c r="W16" i="4"/>
  <c r="U16" i="4"/>
  <c r="T16" i="4"/>
  <c r="R16" i="4"/>
  <c r="Q16" i="4"/>
  <c r="O16" i="4"/>
  <c r="N16" i="4"/>
  <c r="L16" i="4"/>
  <c r="K16" i="4"/>
  <c r="I16" i="4"/>
  <c r="G16" i="4"/>
  <c r="E16" i="4"/>
  <c r="AA15" i="4"/>
  <c r="X15" i="4"/>
  <c r="U15" i="4"/>
  <c r="R15" i="4"/>
  <c r="O15" i="4"/>
  <c r="L15" i="4"/>
  <c r="I15" i="4"/>
  <c r="Z15" i="4" s="1"/>
  <c r="G15" i="4"/>
  <c r="E15" i="4"/>
  <c r="AA14" i="4"/>
  <c r="Z14" i="4"/>
  <c r="X14" i="4"/>
  <c r="W14" i="4"/>
  <c r="U14" i="4"/>
  <c r="T14" i="4"/>
  <c r="R14" i="4"/>
  <c r="Q14" i="4"/>
  <c r="O14" i="4"/>
  <c r="N14" i="4"/>
  <c r="L14" i="4"/>
  <c r="K14" i="4"/>
  <c r="I14" i="4"/>
  <c r="G14" i="4"/>
  <c r="E14" i="4"/>
  <c r="AA13" i="4"/>
  <c r="X13" i="4"/>
  <c r="U13" i="4"/>
  <c r="R13" i="4"/>
  <c r="O13" i="4"/>
  <c r="L13" i="4"/>
  <c r="I13" i="4"/>
  <c r="W13" i="4" s="1"/>
  <c r="G13" i="4"/>
  <c r="E13" i="4"/>
  <c r="AA12" i="4"/>
  <c r="Z12" i="4"/>
  <c r="X12" i="4"/>
  <c r="W12" i="4"/>
  <c r="U12" i="4"/>
  <c r="T12" i="4"/>
  <c r="R12" i="4"/>
  <c r="Q12" i="4"/>
  <c r="O12" i="4"/>
  <c r="N12" i="4"/>
  <c r="L12" i="4"/>
  <c r="K12" i="4"/>
  <c r="I12" i="4"/>
  <c r="G12" i="4"/>
  <c r="E12" i="4"/>
  <c r="AA11" i="4"/>
  <c r="X11" i="4"/>
  <c r="U11" i="4"/>
  <c r="R11" i="4"/>
  <c r="O11" i="4"/>
  <c r="L11" i="4"/>
  <c r="I11" i="4"/>
  <c r="Z11" i="4" s="1"/>
  <c r="G11" i="4"/>
  <c r="E11" i="4"/>
  <c r="AA10" i="4"/>
  <c r="Z10" i="4"/>
  <c r="X10" i="4"/>
  <c r="W10" i="4"/>
  <c r="U10" i="4"/>
  <c r="T10" i="4"/>
  <c r="R10" i="4"/>
  <c r="Q10" i="4"/>
  <c r="O10" i="4"/>
  <c r="N10" i="4"/>
  <c r="L10" i="4"/>
  <c r="K10" i="4"/>
  <c r="I10" i="4"/>
  <c r="G10" i="4"/>
  <c r="E10" i="4"/>
  <c r="AA9" i="4"/>
  <c r="X9" i="4"/>
  <c r="U9" i="4"/>
  <c r="R9" i="4"/>
  <c r="O9" i="4"/>
  <c r="L9" i="4"/>
  <c r="I9" i="4"/>
  <c r="W9" i="4" s="1"/>
  <c r="G9" i="4"/>
  <c r="E9" i="4"/>
  <c r="AA8" i="4"/>
  <c r="Z8" i="4"/>
  <c r="X8" i="4"/>
  <c r="W8" i="4"/>
  <c r="U8" i="4"/>
  <c r="T8" i="4"/>
  <c r="R8" i="4"/>
  <c r="Q8" i="4"/>
  <c r="O8" i="4"/>
  <c r="N8" i="4"/>
  <c r="L8" i="4"/>
  <c r="K8" i="4"/>
  <c r="I8" i="4"/>
  <c r="G8" i="4"/>
  <c r="E8" i="4"/>
  <c r="AA7" i="4"/>
  <c r="X7" i="4"/>
  <c r="U7" i="4"/>
  <c r="R7" i="4"/>
  <c r="O7" i="4"/>
  <c r="L7" i="4"/>
  <c r="I7" i="4"/>
  <c r="Z7" i="4" s="1"/>
  <c r="G7" i="4"/>
  <c r="E7" i="4"/>
  <c r="AA6" i="4"/>
  <c r="Z6" i="4"/>
  <c r="X6" i="4"/>
  <c r="W6" i="4"/>
  <c r="U6" i="4"/>
  <c r="T6" i="4"/>
  <c r="R6" i="4"/>
  <c r="Q6" i="4"/>
  <c r="O6" i="4"/>
  <c r="N6" i="4"/>
  <c r="L6" i="4"/>
  <c r="K6" i="4"/>
  <c r="I6" i="4"/>
  <c r="G6" i="4"/>
  <c r="E6" i="4"/>
  <c r="AA5" i="4"/>
  <c r="X5" i="4"/>
  <c r="U5" i="4"/>
  <c r="R5" i="4"/>
  <c r="O5" i="4"/>
  <c r="L5" i="4"/>
  <c r="I5" i="4"/>
  <c r="W5" i="4" s="1"/>
  <c r="G5" i="4"/>
  <c r="E5" i="4"/>
  <c r="AA4" i="4"/>
  <c r="Z4" i="4"/>
  <c r="X4" i="4"/>
  <c r="W4" i="4"/>
  <c r="U4" i="4"/>
  <c r="T4" i="4"/>
  <c r="R4" i="4"/>
  <c r="Q4" i="4"/>
  <c r="O4" i="4"/>
  <c r="N4" i="4"/>
  <c r="L4" i="4"/>
  <c r="K4" i="4"/>
  <c r="I4" i="4"/>
  <c r="G4" i="4"/>
  <c r="E4" i="4"/>
  <c r="C75" i="2"/>
  <c r="E4" i="2"/>
  <c r="E5" i="2"/>
  <c r="E6" i="2"/>
  <c r="E7" i="2"/>
  <c r="E8" i="2"/>
  <c r="E9" i="2"/>
  <c r="E10" i="2"/>
  <c r="E11" i="2"/>
  <c r="E12" i="2"/>
  <c r="E13" i="2"/>
  <c r="E14" i="2"/>
  <c r="E15" i="2"/>
  <c r="E16" i="2"/>
  <c r="E17" i="2"/>
  <c r="E18" i="2"/>
  <c r="E19" i="2"/>
  <c r="E20" i="2"/>
  <c r="E21" i="2"/>
  <c r="E22" i="2"/>
  <c r="E23" i="2"/>
  <c r="E24" i="2"/>
  <c r="N5" i="4" l="1"/>
  <c r="T5" i="4"/>
  <c r="Z5" i="4"/>
  <c r="K7" i="4"/>
  <c r="Q7" i="4"/>
  <c r="W7" i="4"/>
  <c r="N9" i="4"/>
  <c r="T9" i="4"/>
  <c r="Z9" i="4"/>
  <c r="K11" i="4"/>
  <c r="Q11" i="4"/>
  <c r="W11" i="4"/>
  <c r="N13" i="4"/>
  <c r="T13" i="4"/>
  <c r="Z13" i="4"/>
  <c r="K15" i="4"/>
  <c r="Q15" i="4"/>
  <c r="W15" i="4"/>
  <c r="N17" i="4"/>
  <c r="T17" i="4"/>
  <c r="Z17" i="4"/>
  <c r="K19" i="4"/>
  <c r="Q19" i="4"/>
  <c r="W19" i="4"/>
  <c r="N21" i="4"/>
  <c r="T21" i="4"/>
  <c r="Z21" i="4"/>
  <c r="K23" i="4"/>
  <c r="Q23" i="4"/>
  <c r="W23" i="4"/>
  <c r="K5" i="4"/>
  <c r="Q5" i="4"/>
  <c r="N7" i="4"/>
  <c r="T7" i="4"/>
  <c r="K9" i="4"/>
  <c r="Q9" i="4"/>
  <c r="N11" i="4"/>
  <c r="T11" i="4"/>
  <c r="K13" i="4"/>
  <c r="Q13" i="4"/>
  <c r="N15" i="4"/>
  <c r="T15" i="4"/>
  <c r="K17" i="4"/>
  <c r="Q17" i="4"/>
  <c r="N19" i="4"/>
  <c r="T19" i="4"/>
  <c r="K21" i="4"/>
  <c r="Q21" i="4"/>
  <c r="N23" i="4"/>
  <c r="T23" i="4"/>
  <c r="S19" i="19"/>
  <c r="S18" i="19"/>
  <c r="S17" i="19"/>
  <c r="S16" i="19"/>
  <c r="S15" i="19"/>
  <c r="S14" i="19"/>
  <c r="S13" i="19"/>
  <c r="S12" i="19"/>
  <c r="S11" i="19"/>
  <c r="S10" i="19"/>
  <c r="S9" i="19"/>
  <c r="S8" i="19"/>
  <c r="S7" i="19"/>
  <c r="S19" i="18"/>
  <c r="S18" i="18"/>
  <c r="S17" i="18"/>
  <c r="S16" i="18"/>
  <c r="S15" i="18"/>
  <c r="S14" i="18"/>
  <c r="S13" i="18"/>
  <c r="S12" i="18"/>
  <c r="S11" i="18"/>
  <c r="S10" i="18"/>
  <c r="S9" i="18"/>
  <c r="S8" i="18"/>
  <c r="S7" i="18"/>
  <c r="S20" i="18"/>
  <c r="S19" i="1"/>
  <c r="S18" i="1"/>
  <c r="S17" i="1"/>
  <c r="S16" i="1"/>
  <c r="S15" i="1"/>
  <c r="S14" i="1"/>
  <c r="S13" i="1"/>
  <c r="S12" i="1"/>
  <c r="S11" i="1"/>
  <c r="S10" i="1"/>
  <c r="S9" i="1"/>
  <c r="S8" i="1"/>
  <c r="S7" i="1"/>
  <c r="L24" i="2" l="1"/>
  <c r="S20" i="19" l="1"/>
  <c r="R25" i="2" l="1"/>
  <c r="E80" i="2" s="1"/>
  <c r="U25" i="2"/>
  <c r="E81" i="2" s="1"/>
  <c r="M37" i="18"/>
  <c r="K26" i="18"/>
  <c r="Q34" i="18"/>
  <c r="Q33" i="18"/>
  <c r="Q36" i="18"/>
  <c r="L43" i="18"/>
  <c r="B31" i="4"/>
  <c r="D30" i="4"/>
  <c r="G30" i="4"/>
  <c r="J30" i="4"/>
  <c r="K30" i="4"/>
  <c r="B41" i="4"/>
  <c r="F39" i="4"/>
  <c r="D39" i="4"/>
  <c r="E39" i="4"/>
  <c r="G39" i="4"/>
  <c r="H39" i="4"/>
  <c r="I39" i="4"/>
  <c r="K39" i="4"/>
  <c r="L39" i="4"/>
  <c r="B52" i="4"/>
  <c r="D50" i="4"/>
  <c r="B51" i="4"/>
  <c r="G50" i="4"/>
  <c r="J50" i="4"/>
  <c r="K50" i="4"/>
  <c r="B67" i="4"/>
  <c r="F65" i="4"/>
  <c r="D65" i="4"/>
  <c r="I65" i="4"/>
  <c r="O33" i="18"/>
  <c r="O34" i="18"/>
  <c r="O35" i="18"/>
  <c r="O36" i="18"/>
  <c r="M35" i="1"/>
  <c r="M33" i="1"/>
  <c r="M34" i="1"/>
  <c r="M36" i="1"/>
  <c r="B32" i="2"/>
  <c r="G31" i="2" s="1"/>
  <c r="B42" i="2"/>
  <c r="D40" i="2" s="1"/>
  <c r="B53" i="2"/>
  <c r="G51" i="2" s="1"/>
  <c r="B52" i="2"/>
  <c r="B68" i="2"/>
  <c r="F66" i="2" s="1"/>
  <c r="H66" i="2"/>
  <c r="O33" i="1"/>
  <c r="O34" i="1"/>
  <c r="O35" i="1"/>
  <c r="O36" i="1"/>
  <c r="M36" i="19"/>
  <c r="N36" i="19"/>
  <c r="O33" i="19"/>
  <c r="Q40" i="2"/>
  <c r="O34" i="19"/>
  <c r="O51" i="2"/>
  <c r="O35" i="19"/>
  <c r="O36" i="19"/>
  <c r="M33" i="19"/>
  <c r="M34" i="19"/>
  <c r="M35" i="19"/>
  <c r="AE31" i="18"/>
  <c r="AE32" i="18"/>
  <c r="AE34" i="18"/>
  <c r="AE35" i="18"/>
  <c r="AF31" i="18"/>
  <c r="AF32" i="18"/>
  <c r="AF34" i="18"/>
  <c r="AF35" i="18"/>
  <c r="Q39" i="19"/>
  <c r="I25" i="2"/>
  <c r="T25" i="2" s="1"/>
  <c r="D81" i="2" s="1"/>
  <c r="X25" i="2"/>
  <c r="E82" i="2" s="1"/>
  <c r="C81" i="2"/>
  <c r="C80" i="2"/>
  <c r="O25" i="2"/>
  <c r="E79" i="2" s="1"/>
  <c r="C79" i="2"/>
  <c r="L25" i="2"/>
  <c r="E78" i="2" s="1"/>
  <c r="C78" i="2"/>
  <c r="C77" i="2"/>
  <c r="G25" i="2"/>
  <c r="D76" i="2" s="1"/>
  <c r="C76" i="2"/>
  <c r="E25" i="2"/>
  <c r="D75" i="2" s="1"/>
  <c r="C74" i="2"/>
  <c r="AA5" i="2"/>
  <c r="R34" i="2"/>
  <c r="AA6" i="2"/>
  <c r="R35" i="2" s="1"/>
  <c r="AA7" i="2"/>
  <c r="R36" i="2" s="1"/>
  <c r="AA8" i="2"/>
  <c r="R37" i="2" s="1"/>
  <c r="AA9" i="2"/>
  <c r="R38" i="2" s="1"/>
  <c r="AA10" i="2"/>
  <c r="R39" i="2" s="1"/>
  <c r="AA11" i="2"/>
  <c r="R46" i="2" s="1"/>
  <c r="AA12" i="2"/>
  <c r="R47" i="2" s="1"/>
  <c r="AA13" i="2"/>
  <c r="R48" i="2" s="1"/>
  <c r="AA14" i="2"/>
  <c r="R49" i="2" s="1"/>
  <c r="AA15" i="2"/>
  <c r="R50" i="2" s="1"/>
  <c r="AA16" i="2"/>
  <c r="R57" i="2" s="1"/>
  <c r="AA17" i="2"/>
  <c r="R58" i="2" s="1"/>
  <c r="AA18" i="2"/>
  <c r="R59" i="2" s="1"/>
  <c r="AA19" i="2"/>
  <c r="R60" i="2" s="1"/>
  <c r="AA20" i="2"/>
  <c r="R61" i="2" s="1"/>
  <c r="AA21" i="2"/>
  <c r="R62" i="2" s="1"/>
  <c r="AA22" i="2"/>
  <c r="R63" i="2" s="1"/>
  <c r="AA23" i="2"/>
  <c r="R64" i="2" s="1"/>
  <c r="AA24" i="2"/>
  <c r="R65" i="2" s="1"/>
  <c r="AA4" i="2"/>
  <c r="R30" i="2" s="1"/>
  <c r="X5" i="2"/>
  <c r="X6" i="2"/>
  <c r="Q35" i="2" s="1"/>
  <c r="X7" i="2"/>
  <c r="Q36" i="2" s="1"/>
  <c r="X8" i="2"/>
  <c r="Q37" i="2" s="1"/>
  <c r="X9" i="2"/>
  <c r="Q38" i="2" s="1"/>
  <c r="X10" i="2"/>
  <c r="Q39" i="2" s="1"/>
  <c r="X11" i="2"/>
  <c r="X12" i="2"/>
  <c r="Q47" i="2" s="1"/>
  <c r="X13" i="2"/>
  <c r="Q48" i="2" s="1"/>
  <c r="X14" i="2"/>
  <c r="Q49" i="2" s="1"/>
  <c r="X15" i="2"/>
  <c r="Q50" i="2" s="1"/>
  <c r="X16" i="2"/>
  <c r="Q57" i="2" s="1"/>
  <c r="X17" i="2"/>
  <c r="Q58" i="2" s="1"/>
  <c r="X18" i="2"/>
  <c r="Q59" i="2" s="1"/>
  <c r="X19" i="2"/>
  <c r="Q60" i="2" s="1"/>
  <c r="X20" i="2"/>
  <c r="Q61" i="2" s="1"/>
  <c r="X21" i="2"/>
  <c r="Q62" i="2" s="1"/>
  <c r="X22" i="2"/>
  <c r="Q63" i="2"/>
  <c r="X23" i="2"/>
  <c r="Q64" i="2" s="1"/>
  <c r="X24" i="2"/>
  <c r="Q65" i="2" s="1"/>
  <c r="X4" i="2"/>
  <c r="Q30" i="2" s="1"/>
  <c r="U5" i="2"/>
  <c r="P34" i="2" s="1"/>
  <c r="U6" i="2"/>
  <c r="P35" i="2" s="1"/>
  <c r="U7" i="2"/>
  <c r="P36" i="2" s="1"/>
  <c r="U8" i="2"/>
  <c r="P37" i="2" s="1"/>
  <c r="U9" i="2"/>
  <c r="P38" i="2" s="1"/>
  <c r="U10" i="2"/>
  <c r="P39" i="2" s="1"/>
  <c r="U11" i="2"/>
  <c r="P46" i="2" s="1"/>
  <c r="U12" i="2"/>
  <c r="P47" i="2" s="1"/>
  <c r="U13" i="2"/>
  <c r="P48" i="2" s="1"/>
  <c r="U14" i="2"/>
  <c r="P49" i="2" s="1"/>
  <c r="U15" i="2"/>
  <c r="P50" i="2" s="1"/>
  <c r="U16" i="2"/>
  <c r="P57" i="2" s="1"/>
  <c r="U17" i="2"/>
  <c r="P58" i="2" s="1"/>
  <c r="U18" i="2"/>
  <c r="P59" i="2" s="1"/>
  <c r="U19" i="2"/>
  <c r="P60" i="2" s="1"/>
  <c r="U20" i="2"/>
  <c r="P61" i="2" s="1"/>
  <c r="U21" i="2"/>
  <c r="P62" i="2" s="1"/>
  <c r="U22" i="2"/>
  <c r="P63" i="2" s="1"/>
  <c r="U23" i="2"/>
  <c r="P64" i="2" s="1"/>
  <c r="U24" i="2"/>
  <c r="P65" i="2" s="1"/>
  <c r="U4" i="2"/>
  <c r="P30" i="2" s="1"/>
  <c r="R5" i="2"/>
  <c r="O34" i="2" s="1"/>
  <c r="R6" i="2"/>
  <c r="R7" i="2"/>
  <c r="O36" i="2" s="1"/>
  <c r="R8" i="2"/>
  <c r="O37" i="2" s="1"/>
  <c r="R9" i="2"/>
  <c r="O38" i="2" s="1"/>
  <c r="R10" i="2"/>
  <c r="O39" i="2" s="1"/>
  <c r="R11" i="2"/>
  <c r="O46" i="2" s="1"/>
  <c r="R12" i="2"/>
  <c r="O47" i="2" s="1"/>
  <c r="R13" i="2"/>
  <c r="O48" i="2" s="1"/>
  <c r="R14" i="2"/>
  <c r="O49" i="2" s="1"/>
  <c r="R15" i="2"/>
  <c r="O50" i="2" s="1"/>
  <c r="R16" i="2"/>
  <c r="O57" i="2" s="1"/>
  <c r="R17" i="2"/>
  <c r="O58" i="2" s="1"/>
  <c r="R18" i="2"/>
  <c r="O59" i="2" s="1"/>
  <c r="R19" i="2"/>
  <c r="O60" i="2" s="1"/>
  <c r="R20" i="2"/>
  <c r="O61" i="2" s="1"/>
  <c r="R21" i="2"/>
  <c r="R22" i="2"/>
  <c r="O63" i="2" s="1"/>
  <c r="R23" i="2"/>
  <c r="O64" i="2" s="1"/>
  <c r="R24" i="2"/>
  <c r="O65" i="2" s="1"/>
  <c r="R4" i="2"/>
  <c r="O30" i="2" s="1"/>
  <c r="O5" i="2"/>
  <c r="N34" i="2" s="1"/>
  <c r="O6" i="2"/>
  <c r="N35" i="2" s="1"/>
  <c r="O7" i="2"/>
  <c r="N36" i="2" s="1"/>
  <c r="O8" i="2"/>
  <c r="N37" i="2" s="1"/>
  <c r="O9" i="2"/>
  <c r="N38" i="2" s="1"/>
  <c r="O10" i="2"/>
  <c r="N39" i="2" s="1"/>
  <c r="O11" i="2"/>
  <c r="N46" i="2" s="1"/>
  <c r="O12" i="2"/>
  <c r="N47" i="2"/>
  <c r="O13" i="2"/>
  <c r="N48" i="2" s="1"/>
  <c r="O14" i="2"/>
  <c r="N49" i="2"/>
  <c r="O15" i="2"/>
  <c r="N50" i="2" s="1"/>
  <c r="O16" i="2"/>
  <c r="N57" i="2" s="1"/>
  <c r="O17" i="2"/>
  <c r="O18" i="2"/>
  <c r="N59" i="2" s="1"/>
  <c r="O19" i="2"/>
  <c r="N60" i="2" s="1"/>
  <c r="O20" i="2"/>
  <c r="N61" i="2"/>
  <c r="O21" i="2"/>
  <c r="N62" i="2" s="1"/>
  <c r="O22" i="2"/>
  <c r="N63" i="2" s="1"/>
  <c r="O23" i="2"/>
  <c r="N64" i="2" s="1"/>
  <c r="O24" i="2"/>
  <c r="O4" i="2"/>
  <c r="N30" i="2" s="1"/>
  <c r="L5" i="2"/>
  <c r="L6" i="2"/>
  <c r="M35" i="2" s="1"/>
  <c r="L7" i="2"/>
  <c r="M36" i="2" s="1"/>
  <c r="L8" i="2"/>
  <c r="M37" i="2" s="1"/>
  <c r="L9" i="2"/>
  <c r="M38" i="2" s="1"/>
  <c r="L10" i="2"/>
  <c r="M39" i="2" s="1"/>
  <c r="L11" i="2"/>
  <c r="M46" i="2" s="1"/>
  <c r="L12" i="2"/>
  <c r="M47" i="2" s="1"/>
  <c r="L13" i="2"/>
  <c r="M48" i="2" s="1"/>
  <c r="L14" i="2"/>
  <c r="M49" i="2" s="1"/>
  <c r="L15" i="2"/>
  <c r="M50" i="2" s="1"/>
  <c r="L16" i="2"/>
  <c r="M57" i="2" s="1"/>
  <c r="L17" i="2"/>
  <c r="L18" i="2"/>
  <c r="M59" i="2" s="1"/>
  <c r="L19" i="2"/>
  <c r="M60" i="2" s="1"/>
  <c r="L20" i="2"/>
  <c r="L21" i="2"/>
  <c r="M62" i="2" s="1"/>
  <c r="L22" i="2"/>
  <c r="M63" i="2" s="1"/>
  <c r="L23" i="2"/>
  <c r="M64" i="2" s="1"/>
  <c r="M65" i="2"/>
  <c r="L4" i="2"/>
  <c r="M30" i="2"/>
  <c r="G5" i="2"/>
  <c r="E34" i="2" s="1"/>
  <c r="G6" i="2"/>
  <c r="E35" i="2" s="1"/>
  <c r="G7" i="2"/>
  <c r="E36" i="2" s="1"/>
  <c r="G8" i="2"/>
  <c r="E37" i="2"/>
  <c r="G9" i="2"/>
  <c r="E38" i="2" s="1"/>
  <c r="G10" i="2"/>
  <c r="E39" i="2" s="1"/>
  <c r="G11" i="2"/>
  <c r="E46" i="2" s="1"/>
  <c r="G12" i="2"/>
  <c r="E47" i="2" s="1"/>
  <c r="G13" i="2"/>
  <c r="E48" i="2" s="1"/>
  <c r="G14" i="2"/>
  <c r="E49" i="2" s="1"/>
  <c r="G15" i="2"/>
  <c r="E50" i="2" s="1"/>
  <c r="G16" i="2"/>
  <c r="E57" i="2" s="1"/>
  <c r="G17" i="2"/>
  <c r="E58" i="2" s="1"/>
  <c r="G18" i="2"/>
  <c r="E59" i="2" s="1"/>
  <c r="G19" i="2"/>
  <c r="E60" i="2" s="1"/>
  <c r="G20" i="2"/>
  <c r="E61" i="2" s="1"/>
  <c r="G21" i="2"/>
  <c r="E62" i="2" s="1"/>
  <c r="G22" i="2"/>
  <c r="E63" i="2" s="1"/>
  <c r="G23" i="2"/>
  <c r="E64" i="2" s="1"/>
  <c r="G24" i="2"/>
  <c r="E65" i="2" s="1"/>
  <c r="G4" i="2"/>
  <c r="E30" i="2" s="1"/>
  <c r="D34" i="2"/>
  <c r="D35" i="2"/>
  <c r="D36" i="2"/>
  <c r="D37" i="2"/>
  <c r="D38" i="2"/>
  <c r="D39" i="2"/>
  <c r="D46" i="2"/>
  <c r="D47" i="2"/>
  <c r="D48" i="2"/>
  <c r="D49" i="2"/>
  <c r="D50" i="2"/>
  <c r="D57" i="2"/>
  <c r="D58" i="2"/>
  <c r="D59" i="2"/>
  <c r="D60" i="2"/>
  <c r="D61" i="2"/>
  <c r="D62" i="2"/>
  <c r="D63" i="2"/>
  <c r="D64" i="2"/>
  <c r="D65" i="2"/>
  <c r="D30" i="2"/>
  <c r="I7" i="2"/>
  <c r="F36" i="2" s="1"/>
  <c r="I9" i="2"/>
  <c r="Q9" i="2" s="1"/>
  <c r="I38" i="2" s="1"/>
  <c r="I15" i="2"/>
  <c r="W15" i="2" s="1"/>
  <c r="K50" i="2" s="1"/>
  <c r="I17" i="2"/>
  <c r="Q17" i="2" s="1"/>
  <c r="I58" i="2" s="1"/>
  <c r="I23" i="2"/>
  <c r="Q23" i="2" s="1"/>
  <c r="I64" i="2" s="1"/>
  <c r="I4" i="2"/>
  <c r="N4" i="2" s="1"/>
  <c r="H30" i="2" s="1"/>
  <c r="I6" i="2"/>
  <c r="T6" i="2" s="1"/>
  <c r="J35" i="2" s="1"/>
  <c r="I8" i="2"/>
  <c r="T8" i="2" s="1"/>
  <c r="J37" i="2" s="1"/>
  <c r="I10" i="2"/>
  <c r="W10" i="2" s="1"/>
  <c r="K39" i="2" s="1"/>
  <c r="I12" i="2"/>
  <c r="Z12" i="2" s="1"/>
  <c r="L47" i="2" s="1"/>
  <c r="I14" i="2"/>
  <c r="K14" i="2" s="1"/>
  <c r="G49" i="2" s="1"/>
  <c r="I16" i="2"/>
  <c r="Z16" i="2" s="1"/>
  <c r="L57" i="2" s="1"/>
  <c r="I18" i="2"/>
  <c r="Q18" i="2" s="1"/>
  <c r="I59" i="2" s="1"/>
  <c r="I20" i="2"/>
  <c r="K20" i="2" s="1"/>
  <c r="G61" i="2" s="1"/>
  <c r="I22" i="2"/>
  <c r="Z22" i="2" s="1"/>
  <c r="L63" i="2" s="1"/>
  <c r="I24" i="2"/>
  <c r="Q24" i="2" s="1"/>
  <c r="I65" i="2" s="1"/>
  <c r="I5" i="2"/>
  <c r="Z5" i="2" s="1"/>
  <c r="L34" i="2" s="1"/>
  <c r="I13" i="2"/>
  <c r="Q13" i="2" s="1"/>
  <c r="I48" i="2" s="1"/>
  <c r="I21" i="2"/>
  <c r="F62" i="2" s="1"/>
  <c r="I11" i="2"/>
  <c r="Q11" i="2" s="1"/>
  <c r="I46" i="2" s="1"/>
  <c r="I19" i="2"/>
  <c r="N19" i="2" s="1"/>
  <c r="H60" i="2" s="1"/>
  <c r="S20" i="1"/>
  <c r="R64" i="4"/>
  <c r="P64" i="4"/>
  <c r="O64" i="4"/>
  <c r="N64" i="4"/>
  <c r="M64" i="4"/>
  <c r="E64" i="4"/>
  <c r="D64" i="4"/>
  <c r="R63" i="4"/>
  <c r="H63" i="4"/>
  <c r="Q63" i="4"/>
  <c r="P63" i="4"/>
  <c r="O63" i="4"/>
  <c r="N63" i="4"/>
  <c r="M63" i="4"/>
  <c r="E63" i="4"/>
  <c r="D63" i="4"/>
  <c r="R62" i="4"/>
  <c r="Q62" i="4"/>
  <c r="P62" i="4"/>
  <c r="O62" i="4"/>
  <c r="N62" i="4"/>
  <c r="M62" i="4"/>
  <c r="E62" i="4"/>
  <c r="D62" i="4"/>
  <c r="R61" i="4"/>
  <c r="F61" i="4"/>
  <c r="Q61" i="4"/>
  <c r="P61" i="4"/>
  <c r="O61" i="4"/>
  <c r="N61" i="4"/>
  <c r="E61" i="4"/>
  <c r="D61" i="4"/>
  <c r="R60" i="4"/>
  <c r="F60" i="4"/>
  <c r="Q60" i="4"/>
  <c r="P60" i="4"/>
  <c r="O60" i="4"/>
  <c r="N60" i="4"/>
  <c r="M60" i="4"/>
  <c r="E60" i="4"/>
  <c r="D60" i="4"/>
  <c r="R59" i="4"/>
  <c r="Q59" i="4"/>
  <c r="P59" i="4"/>
  <c r="O59" i="4"/>
  <c r="N59" i="4"/>
  <c r="M59" i="4"/>
  <c r="E59" i="4"/>
  <c r="D59" i="4"/>
  <c r="R58" i="4"/>
  <c r="F58" i="4"/>
  <c r="P58" i="4"/>
  <c r="O58" i="4"/>
  <c r="N58" i="4"/>
  <c r="M58" i="4"/>
  <c r="E58" i="4"/>
  <c r="D58" i="4"/>
  <c r="R57" i="4"/>
  <c r="F57" i="4"/>
  <c r="Q57" i="4"/>
  <c r="P57" i="4"/>
  <c r="O57" i="4"/>
  <c r="N57" i="4"/>
  <c r="M57" i="4"/>
  <c r="E57" i="4"/>
  <c r="D57" i="4"/>
  <c r="R56" i="4"/>
  <c r="G56" i="4"/>
  <c r="H56" i="4"/>
  <c r="Q56" i="4"/>
  <c r="P56" i="4"/>
  <c r="O56" i="4"/>
  <c r="N56" i="4"/>
  <c r="M56" i="4"/>
  <c r="E56" i="4"/>
  <c r="D56" i="4"/>
  <c r="R49" i="4"/>
  <c r="Q49" i="4"/>
  <c r="P49" i="4"/>
  <c r="O49" i="4"/>
  <c r="N49" i="4"/>
  <c r="M49" i="4"/>
  <c r="E49" i="4"/>
  <c r="D49" i="4"/>
  <c r="R48" i="4"/>
  <c r="F48" i="4"/>
  <c r="Q48" i="4"/>
  <c r="P48" i="4"/>
  <c r="O48" i="4"/>
  <c r="M48" i="4"/>
  <c r="E48" i="4"/>
  <c r="D48" i="4"/>
  <c r="F50" i="4"/>
  <c r="Q47" i="4"/>
  <c r="P47" i="4"/>
  <c r="N47" i="4"/>
  <c r="M47" i="4"/>
  <c r="E47" i="4"/>
  <c r="D47" i="4"/>
  <c r="R46" i="4"/>
  <c r="Q46" i="4"/>
  <c r="O46" i="4"/>
  <c r="N46" i="4"/>
  <c r="M46" i="4"/>
  <c r="E46" i="4"/>
  <c r="D46" i="4"/>
  <c r="R45" i="4"/>
  <c r="F45" i="4"/>
  <c r="Q45" i="4"/>
  <c r="P45" i="4"/>
  <c r="O45" i="4"/>
  <c r="N45" i="4"/>
  <c r="M45" i="4"/>
  <c r="E45" i="4"/>
  <c r="D45" i="4"/>
  <c r="R38" i="4"/>
  <c r="G38" i="4"/>
  <c r="Q38" i="4"/>
  <c r="P38" i="4"/>
  <c r="O38" i="4"/>
  <c r="N38" i="4"/>
  <c r="M38" i="4"/>
  <c r="E38" i="4"/>
  <c r="D38" i="4"/>
  <c r="R37" i="4"/>
  <c r="Q37" i="4"/>
  <c r="P37" i="4"/>
  <c r="O37" i="4"/>
  <c r="N37" i="4"/>
  <c r="M37" i="4"/>
  <c r="E37" i="4"/>
  <c r="D37" i="4"/>
  <c r="R36" i="4"/>
  <c r="Q36" i="4"/>
  <c r="P36" i="4"/>
  <c r="N36" i="4"/>
  <c r="M36" i="4"/>
  <c r="E36" i="4"/>
  <c r="D36" i="4"/>
  <c r="R35" i="4"/>
  <c r="Q35" i="4"/>
  <c r="P35" i="4"/>
  <c r="O35" i="4"/>
  <c r="N35" i="4"/>
  <c r="M35" i="4"/>
  <c r="E35" i="4"/>
  <c r="D35" i="4"/>
  <c r="R34" i="4"/>
  <c r="F34" i="4"/>
  <c r="Q34" i="4"/>
  <c r="P34" i="4"/>
  <c r="O34" i="4"/>
  <c r="N34" i="4"/>
  <c r="E34" i="4"/>
  <c r="D34" i="4"/>
  <c r="R33" i="4"/>
  <c r="Q33" i="4"/>
  <c r="P33" i="4"/>
  <c r="O33" i="4"/>
  <c r="N33" i="4"/>
  <c r="M33" i="4"/>
  <c r="E33" i="4"/>
  <c r="D33" i="4"/>
  <c r="R29" i="4"/>
  <c r="Q29" i="4"/>
  <c r="P29" i="4"/>
  <c r="N29" i="4"/>
  <c r="M29" i="4"/>
  <c r="E29" i="4"/>
  <c r="D29" i="4"/>
  <c r="Y81" i="19"/>
  <c r="AF31" i="19"/>
  <c r="AF32" i="19"/>
  <c r="AF36" i="19" s="1"/>
  <c r="AF34" i="19"/>
  <c r="AF35" i="19"/>
  <c r="AG31" i="19"/>
  <c r="AG34" i="19"/>
  <c r="AG35" i="19"/>
  <c r="AG32" i="19"/>
  <c r="AG36" i="19"/>
  <c r="B41" i="2"/>
  <c r="B31" i="2"/>
  <c r="B66" i="4"/>
  <c r="O30" i="4"/>
  <c r="Q65" i="4"/>
  <c r="B40" i="4"/>
  <c r="Q39" i="18"/>
  <c r="Y86" i="18"/>
  <c r="AO84" i="18"/>
  <c r="R66" i="2"/>
  <c r="B67" i="2"/>
  <c r="M58" i="2"/>
  <c r="Q39" i="1"/>
  <c r="T84" i="1"/>
  <c r="M66" i="2"/>
  <c r="N66" i="2"/>
  <c r="O66" i="2"/>
  <c r="P66" i="2"/>
  <c r="Q66" i="2"/>
  <c r="AG31" i="1"/>
  <c r="AH31" i="1"/>
  <c r="AG34" i="1"/>
  <c r="AG35" i="1"/>
  <c r="AH34" i="1"/>
  <c r="AH35" i="1"/>
  <c r="AG32" i="1"/>
  <c r="AH32" i="1"/>
  <c r="N58" i="2"/>
  <c r="N65" i="2"/>
  <c r="M61" i="2"/>
  <c r="O62" i="2"/>
  <c r="Q46" i="2"/>
  <c r="Q34" i="2"/>
  <c r="M34" i="2"/>
  <c r="O35" i="2"/>
  <c r="C65" i="2"/>
  <c r="C64" i="2"/>
  <c r="C63" i="2"/>
  <c r="C62" i="2"/>
  <c r="C61" i="2"/>
  <c r="C60" i="2"/>
  <c r="C59" i="2"/>
  <c r="C58" i="2"/>
  <c r="C57" i="2"/>
  <c r="C50" i="2"/>
  <c r="C49" i="2"/>
  <c r="C48" i="2"/>
  <c r="C47" i="2"/>
  <c r="C46" i="2"/>
  <c r="C39" i="2"/>
  <c r="C38" i="2"/>
  <c r="C37" i="2"/>
  <c r="C36" i="2"/>
  <c r="C35" i="2"/>
  <c r="C34" i="2"/>
  <c r="C30" i="2"/>
  <c r="Q64" i="4"/>
  <c r="M61" i="4"/>
  <c r="Q58" i="4"/>
  <c r="N48" i="4"/>
  <c r="R47" i="4"/>
  <c r="O47" i="4"/>
  <c r="P46" i="4"/>
  <c r="O36" i="4"/>
  <c r="M34" i="4"/>
  <c r="O29" i="4"/>
  <c r="B30" i="4"/>
  <c r="C64" i="4"/>
  <c r="C63" i="4"/>
  <c r="C62" i="4"/>
  <c r="C61" i="4"/>
  <c r="C60" i="4"/>
  <c r="C59" i="4"/>
  <c r="C58" i="4"/>
  <c r="C57" i="4"/>
  <c r="C56" i="4"/>
  <c r="C49" i="4"/>
  <c r="C48" i="4"/>
  <c r="C47" i="4"/>
  <c r="C46" i="4"/>
  <c r="C45" i="4"/>
  <c r="C38" i="4"/>
  <c r="C37" i="4"/>
  <c r="C36" i="4"/>
  <c r="C35" i="4"/>
  <c r="C34" i="4"/>
  <c r="C33" i="4"/>
  <c r="C29" i="4"/>
  <c r="O50" i="4"/>
  <c r="O39" i="4"/>
  <c r="M39" i="4"/>
  <c r="AH36" i="1"/>
  <c r="N50" i="4"/>
  <c r="R50" i="4"/>
  <c r="N30" i="4"/>
  <c r="P30" i="4"/>
  <c r="K29" i="18"/>
  <c r="M38" i="18"/>
  <c r="Q30" i="4"/>
  <c r="M30" i="4"/>
  <c r="P65" i="4"/>
  <c r="N39" i="4"/>
  <c r="M50" i="4"/>
  <c r="T20" i="2"/>
  <c r="J61" i="2" s="1"/>
  <c r="N20" i="2"/>
  <c r="H61" i="2" s="1"/>
  <c r="C83" i="2"/>
  <c r="AA25" i="2"/>
  <c r="E83" i="2" s="1"/>
  <c r="F56" i="4"/>
  <c r="O65" i="4"/>
  <c r="M65" i="4"/>
  <c r="AF36" i="18"/>
  <c r="Z20" i="2"/>
  <c r="L61" i="2" s="1"/>
  <c r="AL82" i="1"/>
  <c r="R65" i="4"/>
  <c r="L65" i="4"/>
  <c r="G65" i="4"/>
  <c r="F30" i="4"/>
  <c r="H65" i="4"/>
  <c r="N65" i="4"/>
  <c r="K65" i="4"/>
  <c r="E65" i="4"/>
  <c r="J65" i="4"/>
  <c r="I50" i="4"/>
  <c r="E50" i="4"/>
  <c r="I30" i="4"/>
  <c r="E30" i="4"/>
  <c r="H30" i="4"/>
  <c r="L30" i="4"/>
  <c r="R39" i="4"/>
  <c r="P39" i="4"/>
  <c r="R30" i="4"/>
  <c r="P50" i="4"/>
  <c r="Q39" i="4"/>
  <c r="Q50" i="4"/>
  <c r="L50" i="4"/>
  <c r="H50" i="4"/>
  <c r="J39" i="4"/>
  <c r="Q35" i="18"/>
  <c r="Q37" i="18"/>
  <c r="Q22" i="18"/>
  <c r="T62" i="18" s="1"/>
  <c r="F46" i="4"/>
  <c r="F35" i="4"/>
  <c r="G34" i="4"/>
  <c r="F36" i="4"/>
  <c r="G57" i="4"/>
  <c r="F29" i="4"/>
  <c r="G63" i="4"/>
  <c r="F38" i="4"/>
  <c r="F63" i="4"/>
  <c r="F33" i="4"/>
  <c r="F37" i="4"/>
  <c r="H58" i="4"/>
  <c r="C82" i="2"/>
  <c r="F46" i="2"/>
  <c r="T11" i="2"/>
  <c r="J46" i="2" s="1"/>
  <c r="F37" i="2"/>
  <c r="T7" i="2"/>
  <c r="J36" i="2" s="1"/>
  <c r="W16" i="2"/>
  <c r="K57" i="2" s="1"/>
  <c r="K24" i="2"/>
  <c r="G65" i="2" s="1"/>
  <c r="W20" i="2"/>
  <c r="K61" i="2" s="1"/>
  <c r="F61" i="2"/>
  <c r="U63" i="18"/>
  <c r="U55" i="18"/>
  <c r="S66" i="18"/>
  <c r="V50" i="18"/>
  <c r="S55" i="18"/>
  <c r="T64" i="18"/>
  <c r="S50" i="18"/>
  <c r="T60" i="18"/>
  <c r="S44" i="18"/>
  <c r="U61" i="18"/>
  <c r="V47" i="18"/>
  <c r="T56" i="18"/>
  <c r="T59" i="18"/>
  <c r="V56" i="18"/>
  <c r="T50" i="18"/>
  <c r="S58" i="18"/>
  <c r="T51" i="18"/>
  <c r="S52" i="18"/>
  <c r="V53" i="18"/>
  <c r="V61" i="18"/>
  <c r="S62" i="18"/>
  <c r="V64" i="18"/>
  <c r="V65" i="18"/>
  <c r="V57" i="18"/>
  <c r="S54" i="18"/>
  <c r="S46" i="18"/>
  <c r="S47" i="18"/>
  <c r="T53" i="18"/>
  <c r="V45" i="18"/>
  <c r="V66" i="18"/>
  <c r="V54" i="18"/>
  <c r="S45" i="18"/>
  <c r="U59" i="18"/>
  <c r="T44" i="18"/>
  <c r="U44" i="18"/>
  <c r="S56" i="18"/>
  <c r="V67" i="18"/>
  <c r="S67" i="18"/>
  <c r="M84" i="18"/>
  <c r="L46" i="18"/>
  <c r="K46" i="18" s="1"/>
  <c r="L50" i="18"/>
  <c r="L54" i="18"/>
  <c r="K54" i="18" s="1"/>
  <c r="L58" i="18"/>
  <c r="K58" i="18" s="1"/>
  <c r="L62" i="18"/>
  <c r="K62" i="18" s="1"/>
  <c r="Q38" i="18"/>
  <c r="L47" i="18"/>
  <c r="L51" i="18"/>
  <c r="K51" i="18" s="1"/>
  <c r="L55" i="18"/>
  <c r="L59" i="18"/>
  <c r="K59" i="18" s="1"/>
  <c r="L67" i="18"/>
  <c r="K67" i="18" s="1"/>
  <c r="O39" i="18"/>
  <c r="L61" i="18"/>
  <c r="K61" i="18" s="1"/>
  <c r="L44" i="18"/>
  <c r="K44" i="18" s="1"/>
  <c r="L48" i="18"/>
  <c r="K48" i="18" s="1"/>
  <c r="L52" i="18"/>
  <c r="L56" i="18"/>
  <c r="K56" i="18" s="1"/>
  <c r="L60" i="18"/>
  <c r="L66" i="18"/>
  <c r="K66" i="18" s="1"/>
  <c r="L64" i="18"/>
  <c r="K64" i="18" s="1"/>
  <c r="L65" i="18"/>
  <c r="K65" i="18" s="1"/>
  <c r="M39" i="18"/>
  <c r="L45" i="18"/>
  <c r="K45" i="18" s="1"/>
  <c r="L49" i="18"/>
  <c r="K49" i="18" s="1"/>
  <c r="L53" i="18"/>
  <c r="L57" i="18"/>
  <c r="K57" i="18" s="1"/>
  <c r="L63" i="18"/>
  <c r="K63" i="18" s="1"/>
  <c r="N39" i="18"/>
  <c r="N34" i="18" l="1"/>
  <c r="W24" i="2"/>
  <c r="K65" i="2" s="1"/>
  <c r="F65" i="2"/>
  <c r="T17" i="2"/>
  <c r="J58" i="2" s="1"/>
  <c r="W17" i="2"/>
  <c r="K58" i="2" s="1"/>
  <c r="N16" i="2"/>
  <c r="H57" i="2" s="1"/>
  <c r="F48" i="2"/>
  <c r="Q8" i="2"/>
  <c r="I37" i="2" s="1"/>
  <c r="K22" i="2"/>
  <c r="G63" i="2" s="1"/>
  <c r="Q22" i="2"/>
  <c r="I63" i="2" s="1"/>
  <c r="W21" i="2"/>
  <c r="K62" i="2" s="1"/>
  <c r="Q20" i="2"/>
  <c r="I61" i="2" s="1"/>
  <c r="W19" i="2"/>
  <c r="K60" i="2" s="1"/>
  <c r="Q15" i="2"/>
  <c r="I50" i="2" s="1"/>
  <c r="Q14" i="2"/>
  <c r="I49" i="2" s="1"/>
  <c r="N15" i="2"/>
  <c r="H50" i="2" s="1"/>
  <c r="T21" i="2"/>
  <c r="J62" i="2" s="1"/>
  <c r="W14" i="2"/>
  <c r="K49" i="2" s="1"/>
  <c r="K21" i="2"/>
  <c r="G62" i="2" s="1"/>
  <c r="N21" i="2"/>
  <c r="H62" i="2" s="1"/>
  <c r="K6" i="2"/>
  <c r="G35" i="2" s="1"/>
  <c r="N22" i="2"/>
  <c r="H63" i="2" s="1"/>
  <c r="F63" i="2"/>
  <c r="Q5" i="2"/>
  <c r="I34" i="2" s="1"/>
  <c r="T23" i="2"/>
  <c r="J64" i="2" s="1"/>
  <c r="Z24" i="2"/>
  <c r="L65" i="2" s="1"/>
  <c r="T16" i="2"/>
  <c r="J57" i="2" s="1"/>
  <c r="N7" i="2"/>
  <c r="H36" i="2" s="1"/>
  <c r="F58" i="2"/>
  <c r="K5" i="2"/>
  <c r="G34" i="2" s="1"/>
  <c r="Z7" i="2"/>
  <c r="L36" i="2" s="1"/>
  <c r="W5" i="2"/>
  <c r="K34" i="2" s="1"/>
  <c r="N13" i="2"/>
  <c r="H48" i="2" s="1"/>
  <c r="F34" i="2"/>
  <c r="F38" i="2"/>
  <c r="N5" i="2"/>
  <c r="H34" i="2" s="1"/>
  <c r="N9" i="2"/>
  <c r="H38" i="2" s="1"/>
  <c r="Q21" i="2"/>
  <c r="I62" i="2" s="1"/>
  <c r="W9" i="2"/>
  <c r="K38" i="2" s="1"/>
  <c r="U60" i="18"/>
  <c r="U43" i="18"/>
  <c r="U65" i="18"/>
  <c r="V48" i="18"/>
  <c r="U50" i="18"/>
  <c r="W50" i="18" s="1"/>
  <c r="V43" i="18"/>
  <c r="U57" i="18"/>
  <c r="V63" i="18"/>
  <c r="T55" i="18"/>
  <c r="T47" i="18"/>
  <c r="U58" i="18"/>
  <c r="U53" i="18"/>
  <c r="S61" i="18"/>
  <c r="AE36" i="18"/>
  <c r="T45" i="18"/>
  <c r="T58" i="18"/>
  <c r="S63" i="18"/>
  <c r="S49" i="18"/>
  <c r="U52" i="18"/>
  <c r="V58" i="18"/>
  <c r="T49" i="18"/>
  <c r="U62" i="18"/>
  <c r="V60" i="18"/>
  <c r="T52" i="18"/>
  <c r="U48" i="18"/>
  <c r="S65" i="18"/>
  <c r="U66" i="18"/>
  <c r="T43" i="18"/>
  <c r="W43" i="18" s="1"/>
  <c r="V62" i="18"/>
  <c r="V52" i="18"/>
  <c r="S53" i="18"/>
  <c r="V51" i="18"/>
  <c r="U47" i="18"/>
  <c r="S48" i="18"/>
  <c r="T54" i="18"/>
  <c r="V46" i="18"/>
  <c r="S43" i="18"/>
  <c r="S64" i="18"/>
  <c r="AG36" i="1"/>
  <c r="L66" i="2"/>
  <c r="G66" i="2"/>
  <c r="K66" i="2"/>
  <c r="E66" i="2"/>
  <c r="I66" i="2"/>
  <c r="D66" i="2"/>
  <c r="O37" i="18"/>
  <c r="O38" i="18" s="1"/>
  <c r="P33" i="18"/>
  <c r="G37" i="4"/>
  <c r="H59" i="4"/>
  <c r="N36" i="18"/>
  <c r="G59" i="4"/>
  <c r="N33" i="18"/>
  <c r="F59" i="4"/>
  <c r="H57" i="4"/>
  <c r="G60" i="4"/>
  <c r="P39" i="18"/>
  <c r="I58" i="4"/>
  <c r="I63" i="4"/>
  <c r="H34" i="4"/>
  <c r="F64" i="4"/>
  <c r="P35" i="18"/>
  <c r="N35" i="18"/>
  <c r="P34" i="18"/>
  <c r="G35" i="4"/>
  <c r="G46" i="4"/>
  <c r="I56" i="4"/>
  <c r="F62" i="4"/>
  <c r="G36" i="4"/>
  <c r="F47" i="4"/>
  <c r="F49" i="4"/>
  <c r="P36" i="18"/>
  <c r="I59" i="4"/>
  <c r="G58" i="4"/>
  <c r="G29" i="4"/>
  <c r="G33" i="4"/>
  <c r="Z25" i="2"/>
  <c r="D83" i="2" s="1"/>
  <c r="Q25" i="2"/>
  <c r="D80" i="2" s="1"/>
  <c r="D77" i="2"/>
  <c r="K23" i="2"/>
  <c r="G64" i="2" s="1"/>
  <c r="N23" i="2"/>
  <c r="H64" i="2" s="1"/>
  <c r="W22" i="2"/>
  <c r="K63" i="2" s="1"/>
  <c r="T22" i="2"/>
  <c r="J63" i="2" s="1"/>
  <c r="Z21" i="2"/>
  <c r="L62" i="2" s="1"/>
  <c r="K18" i="2"/>
  <c r="G59" i="2" s="1"/>
  <c r="Z18" i="2"/>
  <c r="L59" i="2" s="1"/>
  <c r="T18" i="2"/>
  <c r="J59" i="2" s="1"/>
  <c r="F59" i="2"/>
  <c r="N18" i="2"/>
  <c r="H59" i="2" s="1"/>
  <c r="W18" i="2"/>
  <c r="K59" i="2" s="1"/>
  <c r="N17" i="2"/>
  <c r="H58" i="2" s="1"/>
  <c r="F57" i="2"/>
  <c r="Q16" i="2"/>
  <c r="I57" i="2" s="1"/>
  <c r="K16" i="2"/>
  <c r="G57" i="2" s="1"/>
  <c r="Q7" i="2"/>
  <c r="I36" i="2" s="1"/>
  <c r="W7" i="2"/>
  <c r="K36" i="2" s="1"/>
  <c r="K7" i="2"/>
  <c r="G36" i="2" s="1"/>
  <c r="W8" i="2"/>
  <c r="K37" i="2" s="1"/>
  <c r="K8" i="2"/>
  <c r="G37" i="2" s="1"/>
  <c r="Z15" i="2"/>
  <c r="L50" i="2" s="1"/>
  <c r="K15" i="2"/>
  <c r="G50" i="2" s="1"/>
  <c r="N8" i="2"/>
  <c r="H37" i="2" s="1"/>
  <c r="K13" i="2"/>
  <c r="G48" i="2" s="1"/>
  <c r="Z13" i="2"/>
  <c r="L48" i="2" s="1"/>
  <c r="F50" i="2"/>
  <c r="Z8" i="2"/>
  <c r="L37" i="2" s="1"/>
  <c r="F39" i="2"/>
  <c r="W13" i="2"/>
  <c r="K48" i="2" s="1"/>
  <c r="T13" i="2"/>
  <c r="J48" i="2" s="1"/>
  <c r="N14" i="2"/>
  <c r="H49" i="2" s="1"/>
  <c r="F49" i="2"/>
  <c r="T14" i="2"/>
  <c r="J49" i="2" s="1"/>
  <c r="Z14" i="2"/>
  <c r="L49" i="2" s="1"/>
  <c r="N11" i="2"/>
  <c r="H46" i="2" s="1"/>
  <c r="W11" i="2"/>
  <c r="K46" i="2" s="1"/>
  <c r="K11" i="2"/>
  <c r="G46" i="2" s="1"/>
  <c r="Z11" i="2"/>
  <c r="L46" i="2" s="1"/>
  <c r="K10" i="2"/>
  <c r="G39" i="2" s="1"/>
  <c r="K9" i="2"/>
  <c r="G38" i="2" s="1"/>
  <c r="O37" i="1"/>
  <c r="O38" i="1" s="1"/>
  <c r="T5" i="2"/>
  <c r="J34" i="2" s="1"/>
  <c r="F30" i="2"/>
  <c r="P36" i="19"/>
  <c r="Q36" i="19" s="1"/>
  <c r="H27" i="19" s="1"/>
  <c r="K25" i="2"/>
  <c r="D78" i="2" s="1"/>
  <c r="N25" i="2"/>
  <c r="D79" i="2" s="1"/>
  <c r="W25" i="2"/>
  <c r="D82" i="2" s="1"/>
  <c r="T24" i="2"/>
  <c r="J65" i="2" s="1"/>
  <c r="N24" i="2"/>
  <c r="H65" i="2" s="1"/>
  <c r="F64" i="2"/>
  <c r="W23" i="2"/>
  <c r="K64" i="2" s="1"/>
  <c r="Z23" i="2"/>
  <c r="L64" i="2" s="1"/>
  <c r="Q19" i="2"/>
  <c r="I60" i="2" s="1"/>
  <c r="F60" i="2"/>
  <c r="T19" i="2"/>
  <c r="J60" i="2" s="1"/>
  <c r="K19" i="2"/>
  <c r="G60" i="2" s="1"/>
  <c r="Z19" i="2"/>
  <c r="L60" i="2" s="1"/>
  <c r="K17" i="2"/>
  <c r="G58" i="2" s="1"/>
  <c r="Z17" i="2"/>
  <c r="L58" i="2" s="1"/>
  <c r="T15" i="2"/>
  <c r="J50" i="2" s="1"/>
  <c r="T12" i="2"/>
  <c r="J47" i="2" s="1"/>
  <c r="K12" i="2"/>
  <c r="G47" i="2" s="1"/>
  <c r="F47" i="2"/>
  <c r="W12" i="2"/>
  <c r="K47" i="2" s="1"/>
  <c r="N12" i="2"/>
  <c r="H47" i="2" s="1"/>
  <c r="Q12" i="2"/>
  <c r="I47" i="2" s="1"/>
  <c r="M37" i="19"/>
  <c r="K29" i="19" s="1"/>
  <c r="Z10" i="2"/>
  <c r="L39" i="2" s="1"/>
  <c r="Q10" i="2"/>
  <c r="I39" i="2" s="1"/>
  <c r="N10" i="2"/>
  <c r="H39" i="2" s="1"/>
  <c r="T10" i="2"/>
  <c r="J39" i="2" s="1"/>
  <c r="Z9" i="2"/>
  <c r="L38" i="2" s="1"/>
  <c r="T9" i="2"/>
  <c r="J38" i="2" s="1"/>
  <c r="N6" i="2"/>
  <c r="H35" i="2" s="1"/>
  <c r="F35" i="2"/>
  <c r="W6" i="2"/>
  <c r="K35" i="2" s="1"/>
  <c r="Q6" i="2"/>
  <c r="I35" i="2" s="1"/>
  <c r="Z6" i="2"/>
  <c r="L35" i="2" s="1"/>
  <c r="M37" i="1"/>
  <c r="K26" i="1" s="1"/>
  <c r="Q35" i="1" s="1"/>
  <c r="Q4" i="2"/>
  <c r="I30" i="2" s="1"/>
  <c r="T4" i="2"/>
  <c r="J30" i="2" s="1"/>
  <c r="Z4" i="2"/>
  <c r="L30" i="2" s="1"/>
  <c r="W4" i="2"/>
  <c r="K30" i="2" s="1"/>
  <c r="K4" i="2"/>
  <c r="G30" i="2" s="1"/>
  <c r="M40" i="2"/>
  <c r="I40" i="2"/>
  <c r="G40" i="2"/>
  <c r="L31" i="2"/>
  <c r="R40" i="2"/>
  <c r="N40" i="2"/>
  <c r="J66" i="2"/>
  <c r="J40" i="2"/>
  <c r="E40" i="2"/>
  <c r="D31" i="2"/>
  <c r="P40" i="2"/>
  <c r="O40" i="2"/>
  <c r="M31" i="2"/>
  <c r="K40" i="2"/>
  <c r="F40" i="2"/>
  <c r="K31" i="2"/>
  <c r="M65" i="18"/>
  <c r="AB65" i="18" s="1"/>
  <c r="N65" i="18" s="1"/>
  <c r="AC65" i="18" s="1"/>
  <c r="O65" i="18" s="1"/>
  <c r="K52" i="18"/>
  <c r="K60" i="18"/>
  <c r="K47" i="18"/>
  <c r="M64" i="18"/>
  <c r="K53" i="18"/>
  <c r="K50" i="18"/>
  <c r="K43" i="18"/>
  <c r="M43" i="18"/>
  <c r="L68" i="18"/>
  <c r="K55" i="18"/>
  <c r="U54" i="18"/>
  <c r="T67" i="18"/>
  <c r="U45" i="18"/>
  <c r="V49" i="18"/>
  <c r="S57" i="18"/>
  <c r="T63" i="18"/>
  <c r="T48" i="18"/>
  <c r="V59" i="18"/>
  <c r="U46" i="18"/>
  <c r="U49" i="18"/>
  <c r="S59" i="18"/>
  <c r="U64" i="18"/>
  <c r="V44" i="18"/>
  <c r="S60" i="18"/>
  <c r="S51" i="18"/>
  <c r="T66" i="18"/>
  <c r="U51" i="18"/>
  <c r="T65" i="18"/>
  <c r="T61" i="18"/>
  <c r="U67" i="18"/>
  <c r="T57" i="18"/>
  <c r="U56" i="18"/>
  <c r="W56" i="18" s="1"/>
  <c r="V55" i="18"/>
  <c r="T46" i="18"/>
  <c r="O37" i="19"/>
  <c r="O38" i="19" s="1"/>
  <c r="I51" i="2"/>
  <c r="M51" i="2"/>
  <c r="Q51" i="2"/>
  <c r="E51" i="2"/>
  <c r="H51" i="2"/>
  <c r="L51" i="2"/>
  <c r="P51" i="2"/>
  <c r="K51" i="2"/>
  <c r="F51" i="2"/>
  <c r="N51" i="2"/>
  <c r="D51" i="2"/>
  <c r="J51" i="2"/>
  <c r="R51" i="2"/>
  <c r="P31" i="2"/>
  <c r="F31" i="2"/>
  <c r="J31" i="2"/>
  <c r="O31" i="2"/>
  <c r="E31" i="2"/>
  <c r="I31" i="2"/>
  <c r="N31" i="2"/>
  <c r="R31" i="2"/>
  <c r="Q31" i="2"/>
  <c r="H31" i="2"/>
  <c r="L40" i="2"/>
  <c r="H40" i="2"/>
  <c r="W62" i="18" l="1"/>
  <c r="N36" i="1"/>
  <c r="W52" i="18"/>
  <c r="W58" i="18"/>
  <c r="W65" i="18"/>
  <c r="W63" i="18"/>
  <c r="W47" i="18"/>
  <c r="W53" i="18"/>
  <c r="W60" i="18"/>
  <c r="W66" i="18"/>
  <c r="W64" i="18"/>
  <c r="W55" i="18"/>
  <c r="W61" i="18"/>
  <c r="W48" i="18"/>
  <c r="W45" i="18"/>
  <c r="W54" i="18"/>
  <c r="O84" i="18"/>
  <c r="N37" i="18"/>
  <c r="N38" i="18" s="1"/>
  <c r="H37" i="4"/>
  <c r="G48" i="4"/>
  <c r="G61" i="4"/>
  <c r="J59" i="4"/>
  <c r="P37" i="18"/>
  <c r="P38" i="18" s="1"/>
  <c r="H29" i="4"/>
  <c r="H36" i="4"/>
  <c r="J56" i="4"/>
  <c r="J63" i="4"/>
  <c r="H46" i="4"/>
  <c r="G45" i="4"/>
  <c r="J58" i="4"/>
  <c r="H33" i="4"/>
  <c r="G49" i="4"/>
  <c r="I57" i="4"/>
  <c r="H35" i="4"/>
  <c r="I34" i="4"/>
  <c r="G47" i="4"/>
  <c r="H38" i="4"/>
  <c r="G62" i="4"/>
  <c r="G64" i="4"/>
  <c r="H60" i="4"/>
  <c r="K26" i="19"/>
  <c r="Q33" i="19" s="1"/>
  <c r="P33" i="19" s="1"/>
  <c r="M38" i="19"/>
  <c r="K29" i="1"/>
  <c r="Q33" i="1"/>
  <c r="P33" i="1" s="1"/>
  <c r="Q34" i="1"/>
  <c r="P34" i="1" s="1"/>
  <c r="Q36" i="1"/>
  <c r="M38" i="1"/>
  <c r="N33" i="1"/>
  <c r="AD65" i="18"/>
  <c r="P65" i="18" s="1"/>
  <c r="AE65" i="18" s="1"/>
  <c r="K68" i="18"/>
  <c r="W51" i="18"/>
  <c r="W59" i="18"/>
  <c r="W49" i="18"/>
  <c r="W67" i="18"/>
  <c r="U68" i="18"/>
  <c r="W46" i="18"/>
  <c r="T68" i="18"/>
  <c r="M85" i="18"/>
  <c r="AB64" i="18"/>
  <c r="N64" i="18" s="1"/>
  <c r="AC64" i="18" s="1"/>
  <c r="O64" i="18" s="1"/>
  <c r="V68" i="18"/>
  <c r="W57" i="18"/>
  <c r="AB43" i="18"/>
  <c r="S68" i="18"/>
  <c r="W44" i="18"/>
  <c r="N34" i="19"/>
  <c r="N34" i="1"/>
  <c r="N33" i="19"/>
  <c r="N35" i="19"/>
  <c r="N35" i="1"/>
  <c r="P35" i="1"/>
  <c r="N84" i="18" l="1"/>
  <c r="P84" i="18" s="1"/>
  <c r="Q84" i="18" s="1"/>
  <c r="K59" i="4"/>
  <c r="L59" i="4"/>
  <c r="H48" i="4"/>
  <c r="H61" i="4"/>
  <c r="I37" i="4"/>
  <c r="H62" i="4"/>
  <c r="I38" i="4"/>
  <c r="J34" i="4"/>
  <c r="I36" i="4"/>
  <c r="H49" i="4"/>
  <c r="K58" i="4"/>
  <c r="L58" i="4"/>
  <c r="L56" i="4"/>
  <c r="K56" i="4"/>
  <c r="I29" i="4"/>
  <c r="H64" i="4"/>
  <c r="H47" i="4"/>
  <c r="I35" i="4"/>
  <c r="I33" i="4"/>
  <c r="I46" i="4"/>
  <c r="I60" i="4"/>
  <c r="J57" i="4"/>
  <c r="H45" i="4"/>
  <c r="K63" i="4"/>
  <c r="L63" i="4"/>
  <c r="Q34" i="19"/>
  <c r="P34" i="19" s="1"/>
  <c r="Q35" i="19"/>
  <c r="P35" i="19" s="1"/>
  <c r="Q37" i="1"/>
  <c r="L43" i="1" s="1"/>
  <c r="K43" i="1" s="1"/>
  <c r="Q22" i="1"/>
  <c r="U48" i="1" s="1"/>
  <c r="P36" i="1"/>
  <c r="P37" i="1" s="1"/>
  <c r="P38" i="1" s="1"/>
  <c r="Q65" i="18"/>
  <c r="M44" i="18"/>
  <c r="AD64" i="18"/>
  <c r="P64" i="18" s="1"/>
  <c r="AE64" i="18" s="1"/>
  <c r="W68" i="18"/>
  <c r="N37" i="1"/>
  <c r="N38" i="1" s="1"/>
  <c r="N37" i="19"/>
  <c r="N43" i="18" l="1"/>
  <c r="AC43" i="18" s="1"/>
  <c r="I61" i="4"/>
  <c r="J37" i="4"/>
  <c r="I48" i="4"/>
  <c r="J29" i="4"/>
  <c r="J38" i="4"/>
  <c r="L57" i="4"/>
  <c r="K57" i="4"/>
  <c r="J35" i="4"/>
  <c r="J36" i="4"/>
  <c r="L34" i="4"/>
  <c r="K34" i="4"/>
  <c r="I62" i="4"/>
  <c r="J46" i="4"/>
  <c r="I64" i="4"/>
  <c r="I49" i="4"/>
  <c r="I45" i="4"/>
  <c r="J60" i="4"/>
  <c r="J33" i="4"/>
  <c r="I47" i="4"/>
  <c r="L52" i="1"/>
  <c r="K52" i="1" s="1"/>
  <c r="L45" i="1"/>
  <c r="K45" i="1" s="1"/>
  <c r="L56" i="1"/>
  <c r="K56" i="1" s="1"/>
  <c r="P37" i="19"/>
  <c r="P38" i="19" s="1"/>
  <c r="L57" i="1"/>
  <c r="K57" i="1" s="1"/>
  <c r="Q22" i="19"/>
  <c r="U52" i="19" s="1"/>
  <c r="L54" i="1"/>
  <c r="K54" i="1" s="1"/>
  <c r="L59" i="1"/>
  <c r="K59" i="1" s="1"/>
  <c r="L62" i="1"/>
  <c r="K62" i="1" s="1"/>
  <c r="L47" i="1"/>
  <c r="K47" i="1" s="1"/>
  <c r="L65" i="1"/>
  <c r="K65" i="1" s="1"/>
  <c r="L53" i="1"/>
  <c r="K53" i="1" s="1"/>
  <c r="L63" i="1"/>
  <c r="K63" i="1" s="1"/>
  <c r="Q38" i="1"/>
  <c r="L64" i="1"/>
  <c r="K64" i="1" s="1"/>
  <c r="L58" i="1"/>
  <c r="K58" i="1" s="1"/>
  <c r="S51" i="1"/>
  <c r="U59" i="1"/>
  <c r="L46" i="1"/>
  <c r="K46" i="1" s="1"/>
  <c r="M82" i="1"/>
  <c r="M43" i="1" s="1"/>
  <c r="S43" i="1" s="1"/>
  <c r="O82" i="1"/>
  <c r="L55" i="1"/>
  <c r="K55" i="1" s="1"/>
  <c r="M39" i="1"/>
  <c r="L44" i="1"/>
  <c r="N39" i="1"/>
  <c r="O39" i="1"/>
  <c r="L49" i="1"/>
  <c r="K49" i="1" s="1"/>
  <c r="L51" i="1"/>
  <c r="K51" i="1" s="1"/>
  <c r="L50" i="1"/>
  <c r="K50" i="1" s="1"/>
  <c r="U58" i="1"/>
  <c r="U61" i="1"/>
  <c r="T51" i="1"/>
  <c r="L60" i="1"/>
  <c r="K60" i="1" s="1"/>
  <c r="L48" i="1"/>
  <c r="K48" i="1" s="1"/>
  <c r="L61" i="1"/>
  <c r="K61" i="1" s="1"/>
  <c r="U52" i="1"/>
  <c r="T56" i="1"/>
  <c r="V47" i="1"/>
  <c r="T57" i="1"/>
  <c r="U56" i="1"/>
  <c r="V57" i="1"/>
  <c r="V45" i="1"/>
  <c r="T45" i="1"/>
  <c r="S55" i="1"/>
  <c r="S63" i="1"/>
  <c r="V52" i="1"/>
  <c r="U55" i="1"/>
  <c r="V54" i="1"/>
  <c r="V61" i="1"/>
  <c r="U47" i="1"/>
  <c r="U50" i="1"/>
  <c r="V53" i="1"/>
  <c r="S64" i="1"/>
  <c r="V65" i="1"/>
  <c r="U51" i="1"/>
  <c r="U65" i="1"/>
  <c r="S56" i="1"/>
  <c r="V58" i="1"/>
  <c r="T64" i="1"/>
  <c r="S49" i="1"/>
  <c r="S50" i="1"/>
  <c r="S65" i="1"/>
  <c r="V46" i="1"/>
  <c r="V44" i="1"/>
  <c r="V63" i="1"/>
  <c r="T52" i="1"/>
  <c r="U53" i="1"/>
  <c r="T63" i="1"/>
  <c r="U57" i="1"/>
  <c r="V50" i="1"/>
  <c r="S62" i="1"/>
  <c r="T61" i="1"/>
  <c r="S53" i="1"/>
  <c r="S58" i="1"/>
  <c r="V48" i="1"/>
  <c r="T65" i="1"/>
  <c r="T44" i="1"/>
  <c r="S45" i="1"/>
  <c r="S61" i="1"/>
  <c r="T55" i="1"/>
  <c r="N82" i="1"/>
  <c r="V51" i="1"/>
  <c r="V62" i="1"/>
  <c r="T53" i="1"/>
  <c r="T59" i="1"/>
  <c r="S46" i="1"/>
  <c r="V59" i="1"/>
  <c r="T60" i="1"/>
  <c r="U45" i="1"/>
  <c r="U49" i="1"/>
  <c r="T58" i="1"/>
  <c r="S52" i="1"/>
  <c r="S60" i="1"/>
  <c r="U44" i="1"/>
  <c r="T49" i="1"/>
  <c r="T48" i="1"/>
  <c r="S48" i="1"/>
  <c r="T46" i="1"/>
  <c r="V60" i="1"/>
  <c r="U60" i="1"/>
  <c r="T62" i="1"/>
  <c r="S54" i="1"/>
  <c r="U54" i="1"/>
  <c r="U62" i="1"/>
  <c r="S44" i="1"/>
  <c r="V64" i="1"/>
  <c r="V55" i="1"/>
  <c r="T50" i="1"/>
  <c r="U63" i="1"/>
  <c r="U64" i="1"/>
  <c r="T54" i="1"/>
  <c r="S57" i="1"/>
  <c r="V56" i="1"/>
  <c r="V49" i="1"/>
  <c r="T47" i="1"/>
  <c r="S59" i="1"/>
  <c r="U46" i="1"/>
  <c r="S47" i="1"/>
  <c r="AB44" i="18"/>
  <c r="M86" i="18"/>
  <c r="Q64" i="18"/>
  <c r="N85" i="18"/>
  <c r="N38" i="19"/>
  <c r="L37" i="4" l="1"/>
  <c r="K37" i="4"/>
  <c r="J48" i="4"/>
  <c r="J61" i="4"/>
  <c r="K46" i="4"/>
  <c r="L46" i="4"/>
  <c r="K29" i="4"/>
  <c r="L29" i="4"/>
  <c r="J45" i="4"/>
  <c r="K33" i="4"/>
  <c r="L33" i="4"/>
  <c r="J64" i="4"/>
  <c r="J62" i="4"/>
  <c r="K36" i="4"/>
  <c r="L36" i="4"/>
  <c r="J47" i="4"/>
  <c r="L60" i="4"/>
  <c r="K60" i="4"/>
  <c r="J49" i="4"/>
  <c r="K35" i="4"/>
  <c r="L35" i="4"/>
  <c r="K38" i="4"/>
  <c r="L38" i="4"/>
  <c r="V58" i="19"/>
  <c r="S55" i="19"/>
  <c r="T44" i="19"/>
  <c r="V62" i="19"/>
  <c r="T54" i="19"/>
  <c r="S62" i="19"/>
  <c r="U51" i="19"/>
  <c r="S51" i="19"/>
  <c r="U61" i="19"/>
  <c r="V45" i="19"/>
  <c r="V55" i="19"/>
  <c r="U47" i="19"/>
  <c r="T60" i="19"/>
  <c r="S44" i="19"/>
  <c r="U57" i="19"/>
  <c r="T47" i="19"/>
  <c r="U46" i="19"/>
  <c r="T45" i="19"/>
  <c r="T58" i="19"/>
  <c r="S59" i="19"/>
  <c r="S48" i="19"/>
  <c r="V59" i="19"/>
  <c r="U54" i="19"/>
  <c r="U48" i="19"/>
  <c r="S52" i="19"/>
  <c r="S54" i="19"/>
  <c r="U44" i="19"/>
  <c r="T57" i="19"/>
  <c r="U60" i="19"/>
  <c r="T53" i="19"/>
  <c r="U59" i="19"/>
  <c r="V50" i="19"/>
  <c r="V49" i="19"/>
  <c r="T48" i="19"/>
  <c r="S43" i="19"/>
  <c r="V48" i="19"/>
  <c r="S53" i="19"/>
  <c r="V56" i="19"/>
  <c r="T56" i="19"/>
  <c r="V54" i="19"/>
  <c r="S45" i="19"/>
  <c r="U43" i="19"/>
  <c r="V57" i="19"/>
  <c r="S46" i="19"/>
  <c r="S61" i="19"/>
  <c r="T61" i="19"/>
  <c r="U58" i="19"/>
  <c r="S57" i="19"/>
  <c r="T59" i="19"/>
  <c r="V61" i="19"/>
  <c r="T62" i="19"/>
  <c r="V44" i="19"/>
  <c r="V52" i="19"/>
  <c r="T49" i="19"/>
  <c r="U49" i="19"/>
  <c r="V60" i="19"/>
  <c r="T46" i="19"/>
  <c r="U53" i="19"/>
  <c r="U50" i="19"/>
  <c r="S50" i="19"/>
  <c r="V46" i="19"/>
  <c r="T51" i="19"/>
  <c r="V53" i="19"/>
  <c r="T55" i="19"/>
  <c r="V51" i="19"/>
  <c r="S60" i="19"/>
  <c r="V43" i="19"/>
  <c r="U62" i="19"/>
  <c r="V47" i="19"/>
  <c r="S49" i="19"/>
  <c r="U56" i="19"/>
  <c r="T43" i="19"/>
  <c r="S58" i="19"/>
  <c r="S56" i="19"/>
  <c r="S47" i="19"/>
  <c r="T50" i="19"/>
  <c r="U55" i="19"/>
  <c r="T52" i="19"/>
  <c r="U45" i="19"/>
  <c r="Q37" i="19"/>
  <c r="Q38" i="19" s="1"/>
  <c r="W47" i="1"/>
  <c r="W58" i="1"/>
  <c r="L66" i="1"/>
  <c r="W45" i="1"/>
  <c r="P39" i="1"/>
  <c r="K44" i="1"/>
  <c r="K66" i="1" s="1"/>
  <c r="P82" i="1"/>
  <c r="Q82" i="1" s="1"/>
  <c r="W56" i="1"/>
  <c r="W57" i="1"/>
  <c r="W65" i="1"/>
  <c r="W55" i="1"/>
  <c r="W49" i="1"/>
  <c r="W59" i="1"/>
  <c r="W61" i="1"/>
  <c r="W51" i="1"/>
  <c r="W63" i="1"/>
  <c r="W54" i="1"/>
  <c r="W46" i="1"/>
  <c r="W64" i="1"/>
  <c r="W50" i="1"/>
  <c r="W52" i="1"/>
  <c r="W53" i="1"/>
  <c r="W60" i="1"/>
  <c r="W48" i="1"/>
  <c r="W44" i="1"/>
  <c r="W62" i="1"/>
  <c r="S66" i="1"/>
  <c r="M45" i="18"/>
  <c r="N44" i="18"/>
  <c r="O43" i="18"/>
  <c r="M83" i="1"/>
  <c r="M44" i="1" s="1"/>
  <c r="AD44" i="1" s="1"/>
  <c r="AD43" i="1"/>
  <c r="N43" i="1" s="1"/>
  <c r="AE43" i="1" s="1"/>
  <c r="O43" i="1" s="1"/>
  <c r="L48" i="4" l="1"/>
  <c r="K48" i="4"/>
  <c r="K61" i="4"/>
  <c r="L61" i="4"/>
  <c r="L64" i="4"/>
  <c r="K64" i="4"/>
  <c r="K49" i="4"/>
  <c r="L49" i="4"/>
  <c r="L47" i="4"/>
  <c r="K47" i="4"/>
  <c r="K62" i="4"/>
  <c r="L62" i="4"/>
  <c r="L45" i="4"/>
  <c r="K45" i="4"/>
  <c r="W45" i="19"/>
  <c r="W58" i="19"/>
  <c r="W52" i="19"/>
  <c r="L51" i="19"/>
  <c r="K51" i="19" s="1"/>
  <c r="W47" i="19"/>
  <c r="W55" i="19"/>
  <c r="W51" i="19"/>
  <c r="W53" i="19"/>
  <c r="W59" i="19"/>
  <c r="W60" i="19"/>
  <c r="W46" i="19"/>
  <c r="W48" i="19"/>
  <c r="L47" i="19"/>
  <c r="K47" i="19" s="1"/>
  <c r="L56" i="19"/>
  <c r="K56" i="19" s="1"/>
  <c r="L53" i="19"/>
  <c r="K53" i="19" s="1"/>
  <c r="S63" i="19"/>
  <c r="M39" i="19"/>
  <c r="M79" i="19" s="1"/>
  <c r="L55" i="19"/>
  <c r="K55" i="19" s="1"/>
  <c r="L58" i="19"/>
  <c r="K58" i="19" s="1"/>
  <c r="O39" i="19"/>
  <c r="L57" i="19"/>
  <c r="K57" i="19" s="1"/>
  <c r="V63" i="19"/>
  <c r="W50" i="19"/>
  <c r="W62" i="19"/>
  <c r="W57" i="19"/>
  <c r="L59" i="19"/>
  <c r="K59" i="19" s="1"/>
  <c r="L62" i="19"/>
  <c r="K62" i="19" s="1"/>
  <c r="L43" i="19"/>
  <c r="K43" i="19" s="1"/>
  <c r="L61" i="19"/>
  <c r="K61" i="19" s="1"/>
  <c r="L46" i="19"/>
  <c r="K46" i="19" s="1"/>
  <c r="L52" i="19"/>
  <c r="K52" i="19" s="1"/>
  <c r="W56" i="19"/>
  <c r="W49" i="19"/>
  <c r="W61" i="19"/>
  <c r="W54" i="19"/>
  <c r="L45" i="19"/>
  <c r="K45" i="19" s="1"/>
  <c r="L44" i="19"/>
  <c r="K44" i="19" s="1"/>
  <c r="N39" i="19"/>
  <c r="N79" i="19" s="1"/>
  <c r="W44" i="19"/>
  <c r="L54" i="19"/>
  <c r="K54" i="19" s="1"/>
  <c r="L60" i="19"/>
  <c r="K60" i="19" s="1"/>
  <c r="L50" i="19"/>
  <c r="K50" i="19" s="1"/>
  <c r="L49" i="19"/>
  <c r="K49" i="19" s="1"/>
  <c r="L48" i="19"/>
  <c r="K48" i="19" s="1"/>
  <c r="W43" i="19"/>
  <c r="T63" i="19"/>
  <c r="U63" i="19"/>
  <c r="O85" i="18"/>
  <c r="AD43" i="18"/>
  <c r="AB45" i="18"/>
  <c r="M87" i="18"/>
  <c r="N86" i="18"/>
  <c r="AC44" i="18"/>
  <c r="O83" i="1"/>
  <c r="U43" i="1"/>
  <c r="U66" i="1" s="1"/>
  <c r="N83" i="1"/>
  <c r="N44" i="1" s="1"/>
  <c r="T43" i="1"/>
  <c r="M84" i="1"/>
  <c r="M45" i="1" s="1"/>
  <c r="AD45" i="1" s="1"/>
  <c r="AF43" i="1"/>
  <c r="P43" i="1" s="1"/>
  <c r="V43" i="1" s="1"/>
  <c r="V66" i="1" s="1"/>
  <c r="P39" i="19" l="1"/>
  <c r="P79" i="19" s="1"/>
  <c r="M43" i="19"/>
  <c r="AC43" i="19" s="1"/>
  <c r="N43" i="19" s="1"/>
  <c r="O79" i="19"/>
  <c r="L63" i="19"/>
  <c r="W63" i="19"/>
  <c r="M85" i="1"/>
  <c r="M46" i="1" s="1"/>
  <c r="AD46" i="1" s="1"/>
  <c r="O44" i="18"/>
  <c r="P43" i="18"/>
  <c r="N45" i="18"/>
  <c r="M46" i="18"/>
  <c r="N84" i="1"/>
  <c r="N45" i="1" s="1"/>
  <c r="N85" i="1" s="1"/>
  <c r="AE44" i="1"/>
  <c r="O44" i="1" s="1"/>
  <c r="AF44" i="1" s="1"/>
  <c r="T66" i="1"/>
  <c r="W43" i="1"/>
  <c r="W66" i="1" s="1"/>
  <c r="K63" i="19"/>
  <c r="P83" i="1"/>
  <c r="Q83" i="1" s="1"/>
  <c r="Q43" i="1"/>
  <c r="AG43" i="1"/>
  <c r="Q79" i="19" l="1"/>
  <c r="M80" i="19"/>
  <c r="M44" i="19" s="1"/>
  <c r="M86" i="1"/>
  <c r="M47" i="1" s="1"/>
  <c r="AD47" i="1" s="1"/>
  <c r="P85" i="18"/>
  <c r="Q85" i="18" s="1"/>
  <c r="Q43" i="18"/>
  <c r="AE43" i="18"/>
  <c r="AB46" i="18"/>
  <c r="M88" i="18"/>
  <c r="N87" i="18"/>
  <c r="AC45" i="18"/>
  <c r="AD44" i="18"/>
  <c r="O86" i="18"/>
  <c r="O84" i="1"/>
  <c r="AE45" i="1"/>
  <c r="N80" i="19"/>
  <c r="AD43" i="19"/>
  <c r="P44" i="1"/>
  <c r="N46" i="1"/>
  <c r="M87" i="1" l="1"/>
  <c r="M48" i="1" s="1"/>
  <c r="AD48" i="1" s="1"/>
  <c r="O45" i="1"/>
  <c r="O85" i="1" s="1"/>
  <c r="N46" i="18"/>
  <c r="P44" i="18"/>
  <c r="O45" i="18"/>
  <c r="M47" i="18"/>
  <c r="O43" i="19"/>
  <c r="AC44" i="19"/>
  <c r="M81" i="19"/>
  <c r="Q44" i="1"/>
  <c r="AG44" i="1"/>
  <c r="P84" i="1"/>
  <c r="Q84" i="1" s="1"/>
  <c r="AE46" i="1"/>
  <c r="N86" i="1"/>
  <c r="M88" i="1" l="1"/>
  <c r="M49" i="1" s="1"/>
  <c r="AF45" i="1"/>
  <c r="P45" i="1" s="1"/>
  <c r="AE44" i="18"/>
  <c r="P86" i="18"/>
  <c r="Q86" i="18" s="1"/>
  <c r="Q44" i="18"/>
  <c r="AB47" i="18"/>
  <c r="M89" i="18"/>
  <c r="O87" i="18"/>
  <c r="AD45" i="18"/>
  <c r="N88" i="18"/>
  <c r="AC46" i="18"/>
  <c r="M45" i="19"/>
  <c r="N44" i="19"/>
  <c r="O80" i="19"/>
  <c r="AE43" i="19"/>
  <c r="O46" i="1"/>
  <c r="N47" i="1"/>
  <c r="O46" i="18" l="1"/>
  <c r="N47" i="18"/>
  <c r="P45" i="18"/>
  <c r="M48" i="18"/>
  <c r="AC45" i="19"/>
  <c r="M82" i="19"/>
  <c r="P43" i="19"/>
  <c r="N81" i="19"/>
  <c r="AD44" i="19"/>
  <c r="AE47" i="1"/>
  <c r="N87" i="1"/>
  <c r="AD49" i="1"/>
  <c r="M89" i="1"/>
  <c r="P85" i="1"/>
  <c r="Q85" i="1" s="1"/>
  <c r="AG45" i="1"/>
  <c r="Q45" i="1"/>
  <c r="O86" i="1"/>
  <c r="AF46" i="1"/>
  <c r="AB48" i="18" l="1"/>
  <c r="M90" i="18"/>
  <c r="Q45" i="18"/>
  <c r="P87" i="18"/>
  <c r="Q87" i="18" s="1"/>
  <c r="AE45" i="18"/>
  <c r="N89" i="18"/>
  <c r="AC47" i="18"/>
  <c r="AD46" i="18"/>
  <c r="O88" i="18"/>
  <c r="O44" i="19"/>
  <c r="P80" i="19"/>
  <c r="Q80" i="19" s="1"/>
  <c r="AF43" i="19"/>
  <c r="Q43" i="19"/>
  <c r="M46" i="19"/>
  <c r="N45" i="19"/>
  <c r="M50" i="1"/>
  <c r="N48" i="1"/>
  <c r="P46" i="1"/>
  <c r="O47" i="1"/>
  <c r="P46" i="18" l="1"/>
  <c r="O47" i="18"/>
  <c r="N48" i="18"/>
  <c r="M49" i="18"/>
  <c r="AC46" i="19"/>
  <c r="M83" i="19"/>
  <c r="N82" i="19"/>
  <c r="AD45" i="19"/>
  <c r="O81" i="19"/>
  <c r="AE44" i="19"/>
  <c r="Q46" i="1"/>
  <c r="P86" i="1"/>
  <c r="Q86" i="1" s="1"/>
  <c r="AG46" i="1"/>
  <c r="AD50" i="1"/>
  <c r="M90" i="1"/>
  <c r="O87" i="1"/>
  <c r="AF47" i="1"/>
  <c r="AE48" i="1"/>
  <c r="N88" i="1"/>
  <c r="AB49" i="18" l="1"/>
  <c r="M91" i="18"/>
  <c r="P88" i="18"/>
  <c r="Q88" i="18" s="1"/>
  <c r="Q46" i="18"/>
  <c r="AE46" i="18"/>
  <c r="O89" i="18"/>
  <c r="AD47" i="18"/>
  <c r="AC48" i="18"/>
  <c r="N90" i="18"/>
  <c r="P44" i="19"/>
  <c r="M47" i="19"/>
  <c r="O45" i="19"/>
  <c r="N46" i="19"/>
  <c r="O48" i="1"/>
  <c r="P47" i="1"/>
  <c r="M51" i="1"/>
  <c r="N49" i="1"/>
  <c r="O48" i="18" l="1"/>
  <c r="O90" i="18" s="1"/>
  <c r="P47" i="18"/>
  <c r="M50" i="18"/>
  <c r="N49" i="18"/>
  <c r="AE45" i="19"/>
  <c r="O82" i="19"/>
  <c r="AD46" i="19"/>
  <c r="N83" i="19"/>
  <c r="AC47" i="19"/>
  <c r="M84" i="19"/>
  <c r="P81" i="19"/>
  <c r="Q81" i="19" s="1"/>
  <c r="Q44" i="19"/>
  <c r="AF44" i="19"/>
  <c r="AE49" i="1"/>
  <c r="N89" i="1"/>
  <c r="Q47" i="1"/>
  <c r="AG47" i="1"/>
  <c r="P87" i="1"/>
  <c r="Q87" i="1" s="1"/>
  <c r="AD51" i="1"/>
  <c r="M91" i="1"/>
  <c r="O88" i="1"/>
  <c r="AF48" i="1"/>
  <c r="AD48" i="18" l="1"/>
  <c r="AE47" i="18"/>
  <c r="Q47" i="18"/>
  <c r="P89" i="18"/>
  <c r="N91" i="18"/>
  <c r="AC49" i="18"/>
  <c r="O49" i="18" s="1"/>
  <c r="AD49" i="18" s="1"/>
  <c r="AB50" i="18"/>
  <c r="M92" i="18"/>
  <c r="P48" i="1"/>
  <c r="P88" i="1" s="1"/>
  <c r="Q88" i="1" s="1"/>
  <c r="M48" i="19"/>
  <c r="N47" i="19"/>
  <c r="O46" i="19"/>
  <c r="P45" i="19"/>
  <c r="N50" i="1"/>
  <c r="O49" i="1"/>
  <c r="M52" i="1"/>
  <c r="N50" i="18" l="1"/>
  <c r="N92" i="18" s="1"/>
  <c r="Q89" i="18"/>
  <c r="P48" i="18"/>
  <c r="M51" i="18"/>
  <c r="O91" i="18"/>
  <c r="AG48" i="1"/>
  <c r="Q48" i="1"/>
  <c r="AF45" i="19"/>
  <c r="P82" i="19"/>
  <c r="Q82" i="19" s="1"/>
  <c r="Q45" i="19"/>
  <c r="AC48" i="19"/>
  <c r="M85" i="19"/>
  <c r="O83" i="19"/>
  <c r="AE46" i="19"/>
  <c r="AD47" i="19"/>
  <c r="N84" i="19"/>
  <c r="AF49" i="1"/>
  <c r="P49" i="1" s="1"/>
  <c r="AG49" i="1" s="1"/>
  <c r="O89" i="1"/>
  <c r="AD52" i="1"/>
  <c r="M92" i="1"/>
  <c r="AE50" i="1"/>
  <c r="N90" i="1"/>
  <c r="N48" i="19" l="1"/>
  <c r="AD48" i="19" s="1"/>
  <c r="AC50" i="18"/>
  <c r="O50" i="18" s="1"/>
  <c r="AD50" i="18" s="1"/>
  <c r="O92" i="18"/>
  <c r="Q48" i="18"/>
  <c r="AE48" i="18"/>
  <c r="P90" i="18"/>
  <c r="AB51" i="18"/>
  <c r="N51" i="18" s="1"/>
  <c r="AC51" i="18" s="1"/>
  <c r="M93" i="18"/>
  <c r="O47" i="19"/>
  <c r="P46" i="19"/>
  <c r="M49" i="19"/>
  <c r="Q49" i="1"/>
  <c r="O50" i="1"/>
  <c r="M53" i="1"/>
  <c r="N51" i="1"/>
  <c r="P89" i="1"/>
  <c r="N85" i="19" l="1"/>
  <c r="O51" i="18"/>
  <c r="O93" i="18" s="1"/>
  <c r="M52" i="18"/>
  <c r="Q90" i="18"/>
  <c r="P49" i="18"/>
  <c r="N93" i="18"/>
  <c r="AC49" i="19"/>
  <c r="M86" i="19"/>
  <c r="O84" i="19"/>
  <c r="AE47" i="19"/>
  <c r="P83" i="19"/>
  <c r="Q83" i="19" s="1"/>
  <c r="Q46" i="19"/>
  <c r="AF46" i="19"/>
  <c r="AF50" i="1"/>
  <c r="P50" i="1" s="1"/>
  <c r="O90" i="1"/>
  <c r="Q89" i="1"/>
  <c r="AE51" i="1"/>
  <c r="N91" i="1"/>
  <c r="AD53" i="1"/>
  <c r="M93" i="1"/>
  <c r="N49" i="19" l="1"/>
  <c r="AD49" i="19" s="1"/>
  <c r="AD51" i="18"/>
  <c r="AE49" i="18"/>
  <c r="Q49" i="18"/>
  <c r="P91" i="18"/>
  <c r="AB52" i="18"/>
  <c r="N52" i="18" s="1"/>
  <c r="AC52" i="18" s="1"/>
  <c r="O52" i="18" s="1"/>
  <c r="AD52" i="18" s="1"/>
  <c r="M94" i="18"/>
  <c r="M50" i="19"/>
  <c r="O48" i="19"/>
  <c r="P47" i="19"/>
  <c r="O51" i="1"/>
  <c r="AF51" i="1" s="1"/>
  <c r="P90" i="1"/>
  <c r="Q90" i="1" s="1"/>
  <c r="Q50" i="1"/>
  <c r="AG50" i="1"/>
  <c r="N52" i="1"/>
  <c r="M54" i="1"/>
  <c r="N86" i="19" l="1"/>
  <c r="O91" i="1"/>
  <c r="Q91" i="18"/>
  <c r="P50" i="18"/>
  <c r="O94" i="18"/>
  <c r="M53" i="18"/>
  <c r="N94" i="18"/>
  <c r="AE48" i="19"/>
  <c r="O85" i="19"/>
  <c r="Q47" i="19"/>
  <c r="AF47" i="19"/>
  <c r="P84" i="19"/>
  <c r="Q84" i="19" s="1"/>
  <c r="AC50" i="19"/>
  <c r="M87" i="19"/>
  <c r="P51" i="1"/>
  <c r="AD54" i="1"/>
  <c r="M94" i="1"/>
  <c r="AE52" i="1"/>
  <c r="N92" i="1"/>
  <c r="N50" i="19" l="1"/>
  <c r="AD50" i="19" s="1"/>
  <c r="O52" i="1"/>
  <c r="AF52" i="1" s="1"/>
  <c r="AB53" i="18"/>
  <c r="N53" i="18" s="1"/>
  <c r="M95" i="18"/>
  <c r="Q50" i="18"/>
  <c r="AE50" i="18"/>
  <c r="P92" i="18"/>
  <c r="M51" i="19"/>
  <c r="O49" i="19"/>
  <c r="P48" i="19"/>
  <c r="Q51" i="1"/>
  <c r="P91" i="1"/>
  <c r="Q91" i="1" s="1"/>
  <c r="AG51" i="1"/>
  <c r="N53" i="1"/>
  <c r="M55" i="1"/>
  <c r="N87" i="19" l="1"/>
  <c r="O92" i="1"/>
  <c r="N95" i="18"/>
  <c r="Q92" i="18"/>
  <c r="P51" i="18"/>
  <c r="M54" i="18"/>
  <c r="AC53" i="18"/>
  <c r="O53" i="18" s="1"/>
  <c r="AD53" i="18" s="1"/>
  <c r="P85" i="19"/>
  <c r="Q85" i="19" s="1"/>
  <c r="AF48" i="19"/>
  <c r="Q48" i="19"/>
  <c r="AE49" i="19"/>
  <c r="O86" i="19"/>
  <c r="AC51" i="19"/>
  <c r="M88" i="19"/>
  <c r="P52" i="1"/>
  <c r="AD55" i="1"/>
  <c r="M95" i="1"/>
  <c r="AE53" i="1"/>
  <c r="N93" i="1"/>
  <c r="N51" i="19" l="1"/>
  <c r="AD51" i="19" s="1"/>
  <c r="O53" i="1"/>
  <c r="AF53" i="1" s="1"/>
  <c r="Q51" i="18"/>
  <c r="AE51" i="18"/>
  <c r="P93" i="18"/>
  <c r="AB54" i="18"/>
  <c r="N54" i="18" s="1"/>
  <c r="M96" i="18"/>
  <c r="O95" i="18"/>
  <c r="M52" i="19"/>
  <c r="O50" i="19"/>
  <c r="P49" i="19"/>
  <c r="Q52" i="1"/>
  <c r="P92" i="1"/>
  <c r="Q92" i="1" s="1"/>
  <c r="AG52" i="1"/>
  <c r="M56" i="1"/>
  <c r="N54" i="1"/>
  <c r="N88" i="19" l="1"/>
  <c r="O93" i="1"/>
  <c r="AC54" i="18"/>
  <c r="O54" i="18" s="1"/>
  <c r="M55" i="18"/>
  <c r="Q93" i="18"/>
  <c r="P52" i="18"/>
  <c r="N96" i="18"/>
  <c r="AC52" i="19"/>
  <c r="M89" i="19"/>
  <c r="P53" i="1"/>
  <c r="AG53" i="1" s="1"/>
  <c r="AE50" i="19"/>
  <c r="O87" i="19"/>
  <c r="P86" i="19"/>
  <c r="Q86" i="19" s="1"/>
  <c r="AF49" i="19"/>
  <c r="Q49" i="19"/>
  <c r="AD56" i="1"/>
  <c r="M96" i="1"/>
  <c r="AE54" i="1"/>
  <c r="N94" i="1"/>
  <c r="N52" i="19" l="1"/>
  <c r="AD52" i="19" s="1"/>
  <c r="O54" i="1"/>
  <c r="AF54" i="1" s="1"/>
  <c r="AB55" i="18"/>
  <c r="N55" i="18" s="1"/>
  <c r="AC55" i="18" s="1"/>
  <c r="M97" i="18"/>
  <c r="Q52" i="18"/>
  <c r="AE52" i="18"/>
  <c r="P94" i="18"/>
  <c r="O96" i="18"/>
  <c r="AD54" i="18"/>
  <c r="Q53" i="1"/>
  <c r="O51" i="19"/>
  <c r="P50" i="19"/>
  <c r="N89" i="19"/>
  <c r="P93" i="1"/>
  <c r="Q93" i="1" s="1"/>
  <c r="M53" i="19"/>
  <c r="M57" i="1"/>
  <c r="N55" i="1"/>
  <c r="O94" i="1" l="1"/>
  <c r="O55" i="18"/>
  <c r="AD55" i="18" s="1"/>
  <c r="Q94" i="18"/>
  <c r="P53" i="18"/>
  <c r="M56" i="18"/>
  <c r="O97" i="18"/>
  <c r="N97" i="18"/>
  <c r="P54" i="1"/>
  <c r="AG54" i="1" s="1"/>
  <c r="AC53" i="19"/>
  <c r="N53" i="19" s="1"/>
  <c r="AD53" i="19" s="1"/>
  <c r="M90" i="19"/>
  <c r="Q50" i="19"/>
  <c r="P87" i="19"/>
  <c r="Q87" i="19" s="1"/>
  <c r="AF50" i="19"/>
  <c r="AE51" i="19"/>
  <c r="O88" i="19"/>
  <c r="AD57" i="1"/>
  <c r="M97" i="1"/>
  <c r="AE55" i="1"/>
  <c r="N95" i="1"/>
  <c r="O55" i="1" l="1"/>
  <c r="AF55" i="1" s="1"/>
  <c r="Q54" i="1"/>
  <c r="P51" i="19"/>
  <c r="AF51" i="19" s="1"/>
  <c r="AB56" i="18"/>
  <c r="N56" i="18" s="1"/>
  <c r="M98" i="18"/>
  <c r="Q53" i="18"/>
  <c r="AE53" i="18"/>
  <c r="P95" i="18"/>
  <c r="P94" i="1"/>
  <c r="Q94" i="1" s="1"/>
  <c r="M54" i="19"/>
  <c r="O52" i="19"/>
  <c r="N90" i="19"/>
  <c r="M58" i="1"/>
  <c r="N56" i="1"/>
  <c r="O95" i="1" l="1"/>
  <c r="Q51" i="19"/>
  <c r="P88" i="19"/>
  <c r="Q88" i="19" s="1"/>
  <c r="P55" i="1"/>
  <c r="Q55" i="1" s="1"/>
  <c r="M57" i="18"/>
  <c r="N98" i="18"/>
  <c r="Q95" i="18"/>
  <c r="P54" i="18"/>
  <c r="AC56" i="18"/>
  <c r="O56" i="18" s="1"/>
  <c r="AC54" i="19"/>
  <c r="N54" i="19" s="1"/>
  <c r="AD54" i="19" s="1"/>
  <c r="M91" i="19"/>
  <c r="AE52" i="19"/>
  <c r="O89" i="19"/>
  <c r="AD58" i="1"/>
  <c r="M98" i="1"/>
  <c r="AE56" i="1"/>
  <c r="N96" i="1"/>
  <c r="O56" i="1" l="1"/>
  <c r="AF56" i="1" s="1"/>
  <c r="AG55" i="1"/>
  <c r="P52" i="19"/>
  <c r="P89" i="19" s="1"/>
  <c r="Q89" i="19" s="1"/>
  <c r="P95" i="1"/>
  <c r="Q95" i="1" s="1"/>
  <c r="O98" i="18"/>
  <c r="AE54" i="18"/>
  <c r="Q54" i="18"/>
  <c r="P96" i="18"/>
  <c r="AD56" i="18"/>
  <c r="AB57" i="18"/>
  <c r="N57" i="18" s="1"/>
  <c r="M99" i="18"/>
  <c r="O53" i="19"/>
  <c r="M55" i="19"/>
  <c r="N91" i="19"/>
  <c r="M59" i="1"/>
  <c r="N57" i="1"/>
  <c r="O96" i="1" l="1"/>
  <c r="P56" i="1"/>
  <c r="AG56" i="1" s="1"/>
  <c r="AF52" i="19"/>
  <c r="Q52" i="19"/>
  <c r="Q96" i="18"/>
  <c r="P55" i="18"/>
  <c r="M58" i="18"/>
  <c r="N99" i="18"/>
  <c r="AC57" i="18"/>
  <c r="O57" i="18" s="1"/>
  <c r="AE53" i="19"/>
  <c r="P53" i="19" s="1"/>
  <c r="AF53" i="19" s="1"/>
  <c r="O90" i="19"/>
  <c r="AC55" i="19"/>
  <c r="N55" i="19" s="1"/>
  <c r="AD55" i="19" s="1"/>
  <c r="M92" i="19"/>
  <c r="AE57" i="1"/>
  <c r="N97" i="1"/>
  <c r="AD59" i="1"/>
  <c r="M99" i="1"/>
  <c r="O57" i="1" l="1"/>
  <c r="AF57" i="1" s="1"/>
  <c r="P96" i="1"/>
  <c r="Q96" i="1" s="1"/>
  <c r="Q56" i="1"/>
  <c r="Q53" i="19"/>
  <c r="O99" i="18"/>
  <c r="AD57" i="18"/>
  <c r="AB58" i="18"/>
  <c r="N58" i="18" s="1"/>
  <c r="AC58" i="18" s="1"/>
  <c r="M100" i="18"/>
  <c r="Q55" i="18"/>
  <c r="AE55" i="18"/>
  <c r="P97" i="18"/>
  <c r="O54" i="19"/>
  <c r="M56" i="19"/>
  <c r="N92" i="19"/>
  <c r="P90" i="19"/>
  <c r="Q90" i="19" s="1"/>
  <c r="M60" i="1"/>
  <c r="N58" i="1"/>
  <c r="O97" i="1" l="1"/>
  <c r="O58" i="18"/>
  <c r="AD58" i="18" s="1"/>
  <c r="P57" i="1"/>
  <c r="AG57" i="1" s="1"/>
  <c r="M59" i="18"/>
  <c r="N100" i="18"/>
  <c r="Q97" i="18"/>
  <c r="P56" i="18"/>
  <c r="AE54" i="19"/>
  <c r="P54" i="19" s="1"/>
  <c r="AF54" i="19" s="1"/>
  <c r="O91" i="19"/>
  <c r="AC56" i="19"/>
  <c r="N56" i="19" s="1"/>
  <c r="AD56" i="19" s="1"/>
  <c r="M93" i="19"/>
  <c r="AE58" i="1"/>
  <c r="N98" i="1"/>
  <c r="AD60" i="1"/>
  <c r="M100" i="1"/>
  <c r="O58" i="1" l="1"/>
  <c r="O98" i="1" s="1"/>
  <c r="O100" i="18"/>
  <c r="Q57" i="1"/>
  <c r="P97" i="1"/>
  <c r="Q97" i="1" s="1"/>
  <c r="Q56" i="18"/>
  <c r="AE56" i="18"/>
  <c r="P98" i="18"/>
  <c r="AB59" i="18"/>
  <c r="N59" i="18" s="1"/>
  <c r="AC59" i="18" s="1"/>
  <c r="M101" i="18"/>
  <c r="Q54" i="19"/>
  <c r="M57" i="19"/>
  <c r="P91" i="19"/>
  <c r="Q91" i="19" s="1"/>
  <c r="N93" i="19"/>
  <c r="O55" i="19"/>
  <c r="M61" i="1"/>
  <c r="M64" i="1"/>
  <c r="N59" i="1"/>
  <c r="AF58" i="1" l="1"/>
  <c r="P58" i="1" s="1"/>
  <c r="P98" i="1" s="1"/>
  <c r="Q98" i="1" s="1"/>
  <c r="O59" i="18"/>
  <c r="O101" i="18" s="1"/>
  <c r="M60" i="18"/>
  <c r="Q98" i="18"/>
  <c r="P57" i="18"/>
  <c r="N101" i="18"/>
  <c r="AC57" i="19"/>
  <c r="N57" i="19" s="1"/>
  <c r="AD57" i="19" s="1"/>
  <c r="M94" i="19"/>
  <c r="AE55" i="19"/>
  <c r="P55" i="19" s="1"/>
  <c r="AF55" i="19" s="1"/>
  <c r="O92" i="19"/>
  <c r="AD64" i="1"/>
  <c r="M101" i="1"/>
  <c r="AE59" i="1"/>
  <c r="O59" i="1" s="1"/>
  <c r="AF59" i="1" s="1"/>
  <c r="N99" i="1"/>
  <c r="AD61" i="1"/>
  <c r="AD59" i="18" l="1"/>
  <c r="AG58" i="1"/>
  <c r="Q58" i="1"/>
  <c r="AB60" i="18"/>
  <c r="N60" i="18" s="1"/>
  <c r="M102" i="18"/>
  <c r="AE57" i="18"/>
  <c r="Q57" i="18"/>
  <c r="P99" i="18"/>
  <c r="P59" i="1"/>
  <c r="Q59" i="1" s="1"/>
  <c r="Q55" i="19"/>
  <c r="M58" i="19"/>
  <c r="N94" i="19"/>
  <c r="O56" i="19"/>
  <c r="P92" i="19"/>
  <c r="Q92" i="19" s="1"/>
  <c r="M65" i="1"/>
  <c r="M62" i="1"/>
  <c r="N60" i="1"/>
  <c r="O99" i="1"/>
  <c r="AG59" i="1" l="1"/>
  <c r="P58" i="18"/>
  <c r="Q99" i="18"/>
  <c r="N102" i="18"/>
  <c r="AC60" i="18"/>
  <c r="O60" i="18" s="1"/>
  <c r="M66" i="18"/>
  <c r="M61" i="18"/>
  <c r="P99" i="1"/>
  <c r="Q99" i="1" s="1"/>
  <c r="AC58" i="19"/>
  <c r="N58" i="19" s="1"/>
  <c r="M95" i="19"/>
  <c r="AE56" i="19"/>
  <c r="P56" i="19" s="1"/>
  <c r="Q56" i="19" s="1"/>
  <c r="O93" i="19"/>
  <c r="AD65" i="1"/>
  <c r="M102" i="1"/>
  <c r="AE60" i="1"/>
  <c r="O60" i="1" s="1"/>
  <c r="N100" i="1"/>
  <c r="AD62" i="1"/>
  <c r="AE58" i="18" l="1"/>
  <c r="Q58" i="18"/>
  <c r="P100" i="18"/>
  <c r="AB66" i="18"/>
  <c r="N66" i="18" s="1"/>
  <c r="M103" i="18"/>
  <c r="AB61" i="18"/>
  <c r="N61" i="18" s="1"/>
  <c r="AC61" i="18" s="1"/>
  <c r="O102" i="18"/>
  <c r="AD60" i="18"/>
  <c r="AF56" i="19"/>
  <c r="M59" i="19"/>
  <c r="N95" i="19"/>
  <c r="AD58" i="19"/>
  <c r="O57" i="19"/>
  <c r="P93" i="19"/>
  <c r="Q93" i="19" s="1"/>
  <c r="O100" i="1"/>
  <c r="N61" i="1"/>
  <c r="N64" i="1"/>
  <c r="AF60" i="1"/>
  <c r="P60" i="1" s="1"/>
  <c r="Q60" i="1" s="1"/>
  <c r="M63" i="1"/>
  <c r="O61" i="18" l="1"/>
  <c r="AD61" i="18" s="1"/>
  <c r="M67" i="18"/>
  <c r="M62" i="18"/>
  <c r="N103" i="18"/>
  <c r="AC66" i="18"/>
  <c r="O66" i="18" s="1"/>
  <c r="Q100" i="18"/>
  <c r="P59" i="18"/>
  <c r="AC59" i="19"/>
  <c r="N59" i="19" s="1"/>
  <c r="AD59" i="19" s="1"/>
  <c r="M96" i="19"/>
  <c r="AE57" i="19"/>
  <c r="P57" i="19" s="1"/>
  <c r="Q57" i="19" s="1"/>
  <c r="O94" i="19"/>
  <c r="O58" i="19" s="1"/>
  <c r="AG60" i="1"/>
  <c r="AE61" i="1"/>
  <c r="O61" i="1" s="1"/>
  <c r="AF61" i="1" s="1"/>
  <c r="AE64" i="1"/>
  <c r="O64" i="1" s="1"/>
  <c r="N101" i="1"/>
  <c r="AD63" i="1"/>
  <c r="AE31" i="1" a="1"/>
  <c r="AE31" i="1" s="1"/>
  <c r="M66" i="1"/>
  <c r="P100" i="1"/>
  <c r="Q100" i="1" s="1"/>
  <c r="O103" i="18" l="1"/>
  <c r="AB62" i="18"/>
  <c r="N62" i="18" s="1"/>
  <c r="AC62" i="18" s="1"/>
  <c r="AD66" i="18"/>
  <c r="AE59" i="18"/>
  <c r="Q59" i="18"/>
  <c r="P101" i="18"/>
  <c r="AB67" i="18"/>
  <c r="M104" i="18"/>
  <c r="AE58" i="19"/>
  <c r="P94" i="19"/>
  <c r="Q94" i="19" s="1"/>
  <c r="O95" i="19"/>
  <c r="AF57" i="19"/>
  <c r="M60" i="19"/>
  <c r="N96" i="19"/>
  <c r="AF31" i="1"/>
  <c r="O101" i="1"/>
  <c r="P61" i="1"/>
  <c r="AD66" i="1"/>
  <c r="AF64" i="1"/>
  <c r="P64" i="1" s="1"/>
  <c r="N62" i="1"/>
  <c r="N65" i="1"/>
  <c r="O62" i="18" l="1"/>
  <c r="AD62" i="18" s="1"/>
  <c r="M63" i="18"/>
  <c r="Q101" i="18"/>
  <c r="P60" i="18"/>
  <c r="N67" i="18"/>
  <c r="P58" i="19"/>
  <c r="AC60" i="19"/>
  <c r="N60" i="19" s="1"/>
  <c r="M97" i="19"/>
  <c r="O59" i="19"/>
  <c r="AE62" i="1"/>
  <c r="O62" i="1" s="1"/>
  <c r="AG61" i="1"/>
  <c r="P101" i="1"/>
  <c r="Q101" i="1" s="1"/>
  <c r="Q64" i="1"/>
  <c r="AG64" i="1"/>
  <c r="AE65" i="1"/>
  <c r="N102" i="1"/>
  <c r="Q61" i="1"/>
  <c r="AB63" i="18" l="1"/>
  <c r="M68" i="18"/>
  <c r="AC31" i="18" a="1"/>
  <c r="AC31" i="18" s="1"/>
  <c r="N104" i="18"/>
  <c r="AC67" i="18"/>
  <c r="AE60" i="18"/>
  <c r="Q60" i="18"/>
  <c r="P102" i="18"/>
  <c r="M61" i="19"/>
  <c r="AE59" i="19"/>
  <c r="O96" i="19"/>
  <c r="AD60" i="19"/>
  <c r="P95" i="19"/>
  <c r="Q95" i="19" s="1"/>
  <c r="AF58" i="19"/>
  <c r="Q58" i="19"/>
  <c r="N97" i="19"/>
  <c r="O65" i="1"/>
  <c r="N63" i="1"/>
  <c r="AF62" i="1"/>
  <c r="P62" i="1" s="1"/>
  <c r="Q102" i="18" l="1"/>
  <c r="P61" i="18"/>
  <c r="P66" i="18"/>
  <c r="N63" i="18"/>
  <c r="AB68" i="18"/>
  <c r="AD31" i="18"/>
  <c r="O67" i="18"/>
  <c r="P59" i="19"/>
  <c r="P96" i="19" s="1"/>
  <c r="Q96" i="19" s="1"/>
  <c r="O60" i="19"/>
  <c r="O97" i="19" s="1"/>
  <c r="AC61" i="19"/>
  <c r="N61" i="19" s="1"/>
  <c r="AD61" i="19" s="1"/>
  <c r="M98" i="19"/>
  <c r="O102" i="1"/>
  <c r="AF65" i="1"/>
  <c r="Q62" i="1"/>
  <c r="AE63" i="1"/>
  <c r="AE32" i="1" a="1"/>
  <c r="AE32" i="1" s="1"/>
  <c r="N66" i="1"/>
  <c r="AG62" i="1"/>
  <c r="O61" i="19" l="1"/>
  <c r="O98" i="19" s="1"/>
  <c r="AE60" i="19"/>
  <c r="P60" i="19" s="1"/>
  <c r="AC32" i="18" a="1"/>
  <c r="AC32" i="18" s="1"/>
  <c r="AC63" i="18"/>
  <c r="N68" i="18"/>
  <c r="AE66" i="18"/>
  <c r="Q66" i="18"/>
  <c r="P103" i="18"/>
  <c r="AE61" i="18"/>
  <c r="Q61" i="18"/>
  <c r="O104" i="18"/>
  <c r="AD67" i="18"/>
  <c r="AF59" i="19"/>
  <c r="Q59" i="19"/>
  <c r="M62" i="19"/>
  <c r="N98" i="19"/>
  <c r="AF32" i="1"/>
  <c r="P65" i="1"/>
  <c r="O63" i="1"/>
  <c r="AE66" i="1"/>
  <c r="AE61" i="19" l="1"/>
  <c r="P67" i="18"/>
  <c r="O63" i="18"/>
  <c r="AC68" i="18"/>
  <c r="Q103" i="18"/>
  <c r="P62" i="18"/>
  <c r="AD32" i="18"/>
  <c r="AC62" i="19"/>
  <c r="M63" i="19"/>
  <c r="AD31" i="19" a="1"/>
  <c r="AD31" i="19" s="1"/>
  <c r="M99" i="19"/>
  <c r="Q60" i="19"/>
  <c r="AF60" i="19"/>
  <c r="P97" i="19"/>
  <c r="AE34" i="1" a="1"/>
  <c r="AE34" i="1" s="1"/>
  <c r="O66" i="1"/>
  <c r="AF63" i="1"/>
  <c r="P102" i="1"/>
  <c r="Q102" i="1" s="1"/>
  <c r="Q65" i="1"/>
  <c r="AG65" i="1"/>
  <c r="AC34" i="18" l="1" a="1"/>
  <c r="AC34" i="18" s="1"/>
  <c r="AD63" i="18"/>
  <c r="O68" i="18"/>
  <c r="Q62" i="18"/>
  <c r="AE62" i="18"/>
  <c r="P104" i="18"/>
  <c r="Q104" i="18" s="1"/>
  <c r="AE67" i="18"/>
  <c r="Q67" i="18"/>
  <c r="AE31" i="19"/>
  <c r="N62" i="19"/>
  <c r="AC63" i="19"/>
  <c r="Q97" i="19"/>
  <c r="P61" i="19"/>
  <c r="P63" i="1"/>
  <c r="AF66" i="1"/>
  <c r="AF34" i="1"/>
  <c r="P63" i="18" l="1"/>
  <c r="AD68" i="18"/>
  <c r="AD34" i="18"/>
  <c r="N63" i="19"/>
  <c r="N99" i="19"/>
  <c r="AD32" i="19" a="1"/>
  <c r="AD32" i="19" s="1"/>
  <c r="AD62" i="19"/>
  <c r="AF61" i="19"/>
  <c r="Q61" i="19"/>
  <c r="P98" i="19"/>
  <c r="Q98" i="19" s="1"/>
  <c r="AE35" i="1" a="1"/>
  <c r="AE35" i="1" s="1"/>
  <c r="P66" i="1"/>
  <c r="Q63" i="1"/>
  <c r="Q66" i="1" s="1"/>
  <c r="AG63" i="1"/>
  <c r="AG66" i="1" s="1"/>
  <c r="AE63" i="18" l="1"/>
  <c r="AE68" i="18" s="1"/>
  <c r="P68" i="18"/>
  <c r="Q63" i="18"/>
  <c r="Q68" i="18" s="1"/>
  <c r="AC35" i="18" a="1"/>
  <c r="AC35" i="18" s="1"/>
  <c r="AE32" i="19"/>
  <c r="O62" i="19"/>
  <c r="AD63" i="19"/>
  <c r="AF35" i="1"/>
  <c r="AF36" i="1" s="1"/>
  <c r="AH7" i="1" s="1"/>
  <c r="AE36" i="1"/>
  <c r="AD35" i="18" l="1"/>
  <c r="AD36" i="18" s="1"/>
  <c r="AH7" i="18" s="1"/>
  <c r="AC36" i="18"/>
  <c r="O63" i="19"/>
  <c r="O99" i="19"/>
  <c r="AD34" i="19" a="1"/>
  <c r="AD34" i="19" s="1"/>
  <c r="AE62" i="19"/>
  <c r="AE34" i="19" l="1"/>
  <c r="P62" i="19"/>
  <c r="AE63" i="19"/>
  <c r="P63" i="19" l="1"/>
  <c r="P99" i="19"/>
  <c r="Q99" i="19" s="1"/>
  <c r="AD35" i="19" a="1"/>
  <c r="AD35" i="19" s="1"/>
  <c r="AF62" i="19"/>
  <c r="AF63" i="19" s="1"/>
  <c r="Q62" i="19"/>
  <c r="Q63" i="19" s="1"/>
  <c r="AE35" i="19" l="1"/>
  <c r="AE36" i="19" s="1"/>
  <c r="AG7" i="19" s="1"/>
  <c r="AD36" i="19"/>
</calcChain>
</file>

<file path=xl/comments1.xml><?xml version="1.0" encoding="utf-8"?>
<comments xmlns="http://schemas.openxmlformats.org/spreadsheetml/2006/main">
  <authors>
    <author>Sally A. Mead</author>
    <author>Nancy Jane Walters</author>
    <author>DK</author>
  </authors>
  <commentList>
    <comment ref="E25" authorId="0">
      <text>
        <r>
          <rPr>
            <b/>
            <sz val="8"/>
            <color indexed="81"/>
            <rFont val="Tahoma"/>
            <family val="2"/>
          </rPr>
          <t>Fill in only one of these two boxes.</t>
        </r>
      </text>
    </comment>
    <comment ref="K26" authorId="1">
      <text>
        <r>
          <rPr>
            <b/>
            <sz val="8"/>
            <color indexed="81"/>
            <rFont val="Tahoma"/>
            <family val="2"/>
          </rPr>
          <t xml:space="preserve">The X factor is derived if not entered in cell D18
</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I35"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L39" authorId="0">
      <text>
        <r>
          <rPr>
            <b/>
            <sz val="8"/>
            <color indexed="81"/>
            <rFont val="Tahoma"/>
            <family val="2"/>
          </rPr>
          <t>Prorated by Total Percent Time entered in Cell D20</t>
        </r>
        <r>
          <rPr>
            <sz val="8"/>
            <color indexed="81"/>
            <rFont val="Tahoma"/>
            <family val="2"/>
          </rPr>
          <t xml:space="preserve">
</t>
        </r>
      </text>
    </comment>
    <comment ref="A41" authorId="2">
      <text>
        <r>
          <rPr>
            <b/>
            <sz val="8"/>
            <color indexed="81"/>
            <rFont val="Tahoma"/>
            <family val="2"/>
          </rPr>
          <t xml:space="preserve">Is the funding source subject to the NIH Cap?
See list of applicable caps, above, right.
</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2.xml><?xml version="1.0" encoding="utf-8"?>
<comments xmlns="http://schemas.openxmlformats.org/spreadsheetml/2006/main">
  <authors>
    <author>Sally A. Mead</author>
    <author>Nancy Jane Walters</author>
    <author>DK</author>
  </authors>
  <commentList>
    <comment ref="E26" authorId="0">
      <text>
        <r>
          <rPr>
            <b/>
            <sz val="8"/>
            <color indexed="81"/>
            <rFont val="Tahoma"/>
            <family val="2"/>
          </rPr>
          <t>Fill in only one of these two boxes.</t>
        </r>
      </text>
    </comment>
    <comment ref="K26" authorId="1">
      <text>
        <r>
          <rPr>
            <b/>
            <sz val="8"/>
            <color indexed="81"/>
            <rFont val="Tahoma"/>
            <family val="2"/>
          </rPr>
          <t>The X factor is derived if not entered in cell D18</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L33" authorId="0">
      <text>
        <r>
          <rPr>
            <b/>
            <sz val="8"/>
            <color indexed="81"/>
            <rFont val="Tahoma"/>
            <family val="2"/>
          </rPr>
          <t>Fill in only one of the four boxes at the right, based on individual's approved title.</t>
        </r>
        <r>
          <rPr>
            <sz val="8"/>
            <color indexed="81"/>
            <rFont val="Tahoma"/>
            <family val="2"/>
          </rPr>
          <t xml:space="preserve">
</t>
        </r>
      </text>
    </comment>
    <comment ref="M33" authorId="0">
      <text>
        <r>
          <rPr>
            <b/>
            <sz val="8"/>
            <color indexed="81"/>
            <rFont val="Tahoma"/>
            <family val="2"/>
          </rPr>
          <t>Enter approved base amount for Instructor.</t>
        </r>
        <r>
          <rPr>
            <sz val="8"/>
            <color indexed="81"/>
            <rFont val="Tahoma"/>
            <family val="2"/>
          </rPr>
          <t xml:space="preserve">
</t>
        </r>
      </text>
    </comment>
    <comment ref="M34" authorId="0">
      <text>
        <r>
          <rPr>
            <b/>
            <sz val="8"/>
            <color indexed="81"/>
            <rFont val="Tahoma"/>
            <family val="2"/>
          </rPr>
          <t xml:space="preserve">Enter Approved Base Amount for Assistant Professor.
</t>
        </r>
        <r>
          <rPr>
            <sz val="8"/>
            <color indexed="81"/>
            <rFont val="Tahoma"/>
            <family val="2"/>
          </rPr>
          <t xml:space="preserve">
</t>
        </r>
      </text>
    </comment>
    <comment ref="I35"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M35" authorId="0">
      <text>
        <r>
          <rPr>
            <b/>
            <sz val="8"/>
            <color indexed="81"/>
            <rFont val="Tahoma"/>
            <family val="2"/>
          </rPr>
          <t xml:space="preserve">Enter Approved Base Amount for Associate Professor.
</t>
        </r>
        <r>
          <rPr>
            <sz val="8"/>
            <color indexed="81"/>
            <rFont val="Tahoma"/>
            <family val="2"/>
          </rPr>
          <t xml:space="preserve">
</t>
        </r>
      </text>
    </comment>
    <comment ref="M36" authorId="0">
      <text>
        <r>
          <rPr>
            <b/>
            <sz val="8"/>
            <color indexed="81"/>
            <rFont val="Tahoma"/>
            <family val="2"/>
          </rPr>
          <t>Enter Approved Base Amount for Full Professor.</t>
        </r>
        <r>
          <rPr>
            <sz val="8"/>
            <color indexed="81"/>
            <rFont val="Tahoma"/>
            <family val="2"/>
          </rPr>
          <t xml:space="preserve">
</t>
        </r>
      </text>
    </comment>
    <comment ref="L39" authorId="0">
      <text>
        <r>
          <rPr>
            <b/>
            <sz val="8"/>
            <color indexed="81"/>
            <rFont val="Tahoma"/>
            <family val="2"/>
          </rPr>
          <t>Prorated by Total Percent Time entered in Cell D20</t>
        </r>
        <r>
          <rPr>
            <sz val="8"/>
            <color indexed="81"/>
            <rFont val="Tahoma"/>
            <family val="2"/>
          </rPr>
          <t xml:space="preserve">
</t>
        </r>
      </text>
    </comment>
    <comment ref="A41" authorId="2">
      <text>
        <r>
          <rPr>
            <b/>
            <sz val="8"/>
            <color indexed="81"/>
            <rFont val="Tahoma"/>
            <family val="2"/>
          </rPr>
          <t>Is the funding source subject to the NIH Cap?
Refer to list of applicable caps above.</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3.xml><?xml version="1.0" encoding="utf-8"?>
<comments xmlns="http://schemas.openxmlformats.org/spreadsheetml/2006/main">
  <authors>
    <author>Sally A. Mead</author>
    <author>Nancy Jane Walters</author>
    <author>DK</author>
  </authors>
  <commentList>
    <comment ref="E26" authorId="0">
      <text>
        <r>
          <rPr>
            <b/>
            <sz val="8"/>
            <color indexed="81"/>
            <rFont val="Tahoma"/>
            <family val="2"/>
          </rPr>
          <t>Fill in only one of these two boxes.</t>
        </r>
      </text>
    </comment>
    <comment ref="K26" authorId="1">
      <text>
        <r>
          <rPr>
            <b/>
            <sz val="8"/>
            <color indexed="81"/>
            <rFont val="Tahoma"/>
            <family val="2"/>
          </rPr>
          <t>The X factor is derived if not entered</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I35" authorId="0">
      <text>
        <r>
          <rPr>
            <b/>
            <sz val="8"/>
            <color indexed="81"/>
            <rFont val="Tahoma"/>
            <family val="2"/>
          </rPr>
          <t>NW:  took out art and comment to enter desired step level
in one of these three boxes, based on individual's current rank.</t>
        </r>
        <r>
          <rPr>
            <sz val="8"/>
            <color indexed="81"/>
            <rFont val="Tahoma"/>
            <family val="2"/>
          </rPr>
          <t xml:space="preserve">
</t>
        </r>
      </text>
    </comment>
    <comment ref="H36" authorId="0">
      <text>
        <r>
          <rPr>
            <b/>
            <sz val="8"/>
            <color indexed="81"/>
            <rFont val="Tahoma"/>
            <family val="2"/>
          </rPr>
          <t>Enter the Approved Above Annual Base Salary Here, rounded to the nearest 100 dollars.</t>
        </r>
      </text>
    </comment>
    <comment ref="L39" authorId="0">
      <text>
        <r>
          <rPr>
            <b/>
            <sz val="8"/>
            <color indexed="81"/>
            <rFont val="Tahoma"/>
            <family val="2"/>
          </rPr>
          <t xml:space="preserve">Prorated by Total Percent Time entered in Cell D20
</t>
        </r>
        <r>
          <rPr>
            <sz val="8"/>
            <color indexed="81"/>
            <rFont val="Tahoma"/>
            <family val="2"/>
          </rPr>
          <t xml:space="preserve">
</t>
        </r>
      </text>
    </comment>
    <comment ref="A41" authorId="2">
      <text>
        <r>
          <rPr>
            <b/>
            <sz val="8"/>
            <color indexed="81"/>
            <rFont val="Tahoma"/>
            <family val="2"/>
          </rPr>
          <t>Is the funding source subject to the NIH Cap?
Enter an applicable salary cap (see list above).</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sharedStrings.xml><?xml version="1.0" encoding="utf-8"?>
<sst xmlns="http://schemas.openxmlformats.org/spreadsheetml/2006/main" count="771" uniqueCount="223">
  <si>
    <t>X Factor :</t>
  </si>
  <si>
    <t>Scale :</t>
  </si>
  <si>
    <t>Base</t>
  </si>
  <si>
    <t>HST</t>
  </si>
  <si>
    <t>HSR</t>
  </si>
  <si>
    <t>HSC</t>
  </si>
  <si>
    <t>Total</t>
  </si>
  <si>
    <t>DISTRIBUTION</t>
  </si>
  <si>
    <t>REG</t>
  </si>
  <si>
    <t>TOTAL</t>
  </si>
  <si>
    <t>Original</t>
  </si>
  <si>
    <t>Residual</t>
  </si>
  <si>
    <t>Total compensation distribution</t>
  </si>
  <si>
    <t>Target</t>
  </si>
  <si>
    <t>compensation</t>
  </si>
  <si>
    <t>distribution</t>
  </si>
  <si>
    <t>HBT</t>
  </si>
  <si>
    <t>BYC</t>
  </si>
  <si>
    <t>FY</t>
  </si>
  <si>
    <t>Scale</t>
  </si>
  <si>
    <t>Rank</t>
  </si>
  <si>
    <t>Step</t>
  </si>
  <si>
    <t>Instructor</t>
  </si>
  <si>
    <t>Asst Prof</t>
  </si>
  <si>
    <t>Assoc Prof</t>
  </si>
  <si>
    <t>Professor</t>
  </si>
  <si>
    <t>HST Differentials</t>
  </si>
  <si>
    <t>HSR Differentials</t>
  </si>
  <si>
    <t>Scales</t>
  </si>
  <si>
    <t>Step:</t>
  </si>
  <si>
    <t>Quick reconciliation box</t>
  </si>
  <si>
    <t>x</t>
  </si>
  <si>
    <t>Comp.</t>
  </si>
  <si>
    <t>Adjust.</t>
  </si>
  <si>
    <t>Annual payment amounts</t>
  </si>
  <si>
    <t>@ Fed.rate</t>
  </si>
  <si>
    <t>Dept. compensation</t>
  </si>
  <si>
    <t>%</t>
  </si>
  <si>
    <t>@ Dept.rate</t>
  </si>
  <si>
    <t>Total Amt.</t>
  </si>
  <si>
    <t xml:space="preserve"> </t>
  </si>
  <si>
    <t>HSA</t>
  </si>
  <si>
    <t>FULL-TIME COMPENSATION BY DOS TYPE</t>
  </si>
  <si>
    <t>Total Percent Time:</t>
  </si>
  <si>
    <t>Last Name :</t>
  </si>
  <si>
    <t>First Name :</t>
  </si>
  <si>
    <t>NIH
CAP</t>
  </si>
  <si>
    <t>Target Percent</t>
  </si>
  <si>
    <t>Actual
Percent</t>
  </si>
  <si>
    <t>Enter Funding Information Below  (Enter Target Percent OR Target Dollars)</t>
  </si>
  <si>
    <t>Name</t>
  </si>
  <si>
    <t>SCALE 0</t>
  </si>
  <si>
    <t>SCALE 1</t>
  </si>
  <si>
    <t>SCALE 2</t>
  </si>
  <si>
    <t>SCALE 3</t>
  </si>
  <si>
    <t>SCALE 4</t>
  </si>
  <si>
    <t>SCALE 5</t>
  </si>
  <si>
    <t>SCALE 6</t>
  </si>
  <si>
    <t>SCALE 7</t>
  </si>
  <si>
    <t>RANK</t>
  </si>
  <si>
    <t>STEP</t>
  </si>
  <si>
    <t>FY SCALE</t>
  </si>
  <si>
    <t>HST DIFF</t>
  </si>
  <si>
    <t>HSR DIFF</t>
  </si>
  <si>
    <t>Enter Target Annual Salary:</t>
  </si>
  <si>
    <t>Enter Target X-Factor:</t>
  </si>
  <si>
    <t>Assistant (enter step):</t>
  </si>
  <si>
    <t>Associate (enter step):</t>
  </si>
  <si>
    <t>Professor (enter step):</t>
  </si>
  <si>
    <t>Is Salary over low NIH Salary Cap?</t>
  </si>
  <si>
    <t xml:space="preserve">Total Annual   </t>
  </si>
  <si>
    <t xml:space="preserve">Total Monthly  </t>
  </si>
  <si>
    <t>Comments:</t>
  </si>
  <si>
    <t>Salary:</t>
  </si>
  <si>
    <t>Professor (enter BASE):</t>
  </si>
  <si>
    <t>Assistant (enter base):</t>
  </si>
  <si>
    <t>Associate (enter base):</t>
  </si>
  <si>
    <t>Professor (enter base):</t>
  </si>
  <si>
    <t>Enter Annual Salary OR X Factor:</t>
  </si>
  <si>
    <t>Inclusive Dates :</t>
  </si>
  <si>
    <t>?</t>
  </si>
  <si>
    <t xml:space="preserve">Now Tab down to enter Total Percent Time.    </t>
  </si>
  <si>
    <t>Scale:</t>
  </si>
  <si>
    <t>Instructor (enter base):</t>
  </si>
  <si>
    <t>X</t>
  </si>
  <si>
    <t>Instructor (enter "x"):</t>
  </si>
  <si>
    <t>Monthly NIH Salary Cap Differential</t>
  </si>
  <si>
    <t>Derived Dollars (Monthly)</t>
  </si>
  <si>
    <t>Target Dollars (Monthly)</t>
  </si>
  <si>
    <t>In most cases, the Tab key is used to move from cell to cell in this spreadsheet; however the Enter key is used to move from one line to the next when entering funding information.</t>
  </si>
  <si>
    <t>Tab down to enter the Annual Salary or the X Factor.  Note that if you enter the Annual Salary, the X Factor is calculated and displayed, and if you enter the X Factor, the Annual Salary is calculated and displayed.</t>
  </si>
  <si>
    <r>
      <t>You will see that the unprotected fields in the left half of the spreadsheet are highlighted in yellow.  These are the cells in which you may enter information.</t>
    </r>
    <r>
      <rPr>
        <b/>
        <sz val="10"/>
        <color indexed="21"/>
        <rFont val="Arial"/>
        <family val="2"/>
      </rPr>
      <t xml:space="preserve"> </t>
    </r>
  </si>
  <si>
    <r>
      <t xml:space="preserve">* </t>
    </r>
    <r>
      <rPr>
        <sz val="10"/>
        <rFont val="Arial"/>
        <family val="2"/>
      </rPr>
      <t>By exception, as approved by the UC Office of the President, 19900 funds from LPPI, Occupational Medicine, and certain other specific research areas are exempt from the limitations described in nos. 3 and 4 above.</t>
    </r>
  </si>
  <si>
    <t>4.  Only the fiscal year base component of salary is 'off-scale'; the other components of covered compensation (i.e., HST and HSR) remain at the on-scale rate associated with the individual's rank and step in the published UC Salary Scales.</t>
  </si>
  <si>
    <t>The instructions for on-scale PAF calculations also apply to Above Scale calculations, with the exception of the following:  After entering 'Total Percent Time' and 'Scale', enter the approved Above Scale fiscal year base rate in the field labeled 'Professor (enter FY Base)'.</t>
  </si>
  <si>
    <t>2.  Academic Advancements and Range Adjustments:  In general, there are two options for dealing with possible increases in fiscal year base occasioned by range adjustments or by the faculty member's academic advancement; however, the School of Nursing requires the use of Option 2 only.</t>
  </si>
  <si>
    <t xml:space="preserve">If you hold the mouse over the red arrows that appear in the corners of certain fields, you will see a comment box with information about that particular field or item.  Click on the ? to get to this linked worksheet of instructions for that item.  Click within the instruction cell to return to the Calculation spreadsheet. </t>
  </si>
  <si>
    <r>
      <t>BYC</t>
    </r>
    <r>
      <rPr>
        <sz val="8"/>
        <rFont val="Arial"/>
        <family val="2"/>
      </rPr>
      <t xml:space="preserve">=DOS code for salary differential on HSC lines subject to NIH cap adjuctment; covered by same benefits as HSC lines; may only be charged to discretionary funds (N.B., in particular, may </t>
    </r>
    <r>
      <rPr>
        <u/>
        <sz val="8"/>
        <rFont val="Arial"/>
        <family val="2"/>
      </rPr>
      <t>never</t>
    </r>
    <r>
      <rPr>
        <sz val="8"/>
        <rFont val="Arial"/>
        <family val="2"/>
      </rPr>
      <t xml:space="preserve"> be charged to federal, state, county or city funds).</t>
    </r>
  </si>
  <si>
    <t>1.  A faculty member's salary is designated 'off-scale' if the fiscal year base rate is higher than the rate associated with her/his rank and step in the published UC Salary Scales.  Requests for off-scale salaries must be reviewed and approved in advance, both at the School level and by the Vice Chancellor, Academic Affairs.  They are approved as flat dollar amounts that, like the annual fiscal year base rates, must be rounded to the nearest 100 dollars.  (N.B.: The EDB record for a faculty member with an off-scale FY base rate reflects the individual's approved step on each distribution line, and in addition, an 'O' is recorded in the Off/Above Scale field immediately to the right of Step).</t>
  </si>
  <si>
    <r>
      <t xml:space="preserve">3.  Unless an exception to academic policy is requested and approved, a faculty member approved for an off-scale base salary must be returned to on-scale after two subsequent academic advancements (for example, after a merit </t>
    </r>
    <r>
      <rPr>
        <u/>
        <sz val="10"/>
        <rFont val="Arial"/>
        <family val="2"/>
      </rPr>
      <t>and</t>
    </r>
    <r>
      <rPr>
        <sz val="10"/>
        <rFont val="Arial"/>
        <family val="2"/>
      </rPr>
      <t xml:space="preserve"> a promotion have been approved.)</t>
    </r>
  </si>
  <si>
    <r>
      <t>HBT</t>
    </r>
    <r>
      <rPr>
        <sz val="8"/>
        <rFont val="Arial"/>
        <family val="2"/>
      </rPr>
      <t xml:space="preserve">=DOS code for salary differential on HST lines subject to NIH cap adjustment; covered by same benefits as HST lines; may only be charged to discretionary funds (N.B., in particular, may </t>
    </r>
    <r>
      <rPr>
        <u/>
        <sz val="8"/>
        <rFont val="Arial"/>
        <family val="2"/>
      </rPr>
      <t>never</t>
    </r>
    <r>
      <rPr>
        <sz val="8"/>
        <rFont val="Arial"/>
        <family val="2"/>
      </rPr>
      <t xml:space="preserve"> be charged to federal, state, county or city funds).</t>
    </r>
  </si>
  <si>
    <r>
      <t>HSA</t>
    </r>
    <r>
      <rPr>
        <sz val="8"/>
        <rFont val="Arial"/>
        <family val="2"/>
      </rPr>
      <t xml:space="preserve">=DOS code for salary differential on HSR lines subject to NIH cap adjustment; covered by same benefits as HSR lines; may only be charged to discretionary funds (N.B., in particular, may </t>
    </r>
    <r>
      <rPr>
        <u/>
        <sz val="8"/>
        <rFont val="Arial"/>
        <family val="2"/>
      </rPr>
      <t>never</t>
    </r>
    <r>
      <rPr>
        <sz val="8"/>
        <rFont val="Arial"/>
        <family val="2"/>
      </rPr>
      <t xml:space="preserve"> be charged to federal, state, county or city funds).</t>
    </r>
  </si>
  <si>
    <t>At the bottom of this page, there are additional optional fields in which the department may enter comments, approval initials or signatures, and/or the date on which the form was created or processed.</t>
  </si>
  <si>
    <t>Approved by:</t>
  </si>
  <si>
    <t>Date Processed:</t>
  </si>
  <si>
    <r>
      <t xml:space="preserve">     Option 1:</t>
    </r>
    <r>
      <rPr>
        <sz val="10"/>
        <rFont val="Arial"/>
        <family val="2"/>
      </rPr>
      <t xml:space="preserve">  Hold the off-scale base rate flat in order to move the person back gradually toward an on-scale salary; if this option is chosen, it is essential that the faculty member be notified that his/her salary will </t>
    </r>
    <r>
      <rPr>
        <u/>
        <sz val="10"/>
        <rFont val="Arial"/>
        <family val="2"/>
      </rPr>
      <t>not</t>
    </r>
    <r>
      <rPr>
        <sz val="10"/>
        <rFont val="Arial"/>
        <family val="2"/>
      </rPr>
      <t xml:space="preserve"> increase.</t>
    </r>
  </si>
  <si>
    <r>
      <t xml:space="preserve">     Option 2:</t>
    </r>
    <r>
      <rPr>
        <sz val="10"/>
        <rFont val="Arial"/>
        <family val="2"/>
      </rPr>
      <t xml:space="preserve">  Increase the off-scale fiscal year base rate by the exact dollar amount that the faculty member would have received if paid on-scale.  (Example:  At the present time, the fiscal year base of on-scale assistant professor being merited from step 3 to step 4 would increase by $1,100/year; therefore $1,100 would be added to the fiscal year base rate of a faculty member paid off-scale to derive his/her new off-scale, step 4 base salary rate.) </t>
    </r>
  </si>
  <si>
    <t>2.  For ladder rank faculty with a 19900 BSE line: at least 1/3 of FY base salary must be paid from 19900; this amount may, however, be averaged over a fiscal year.</t>
  </si>
  <si>
    <r>
      <t>4.  For faculty in the Adjunct or In Residence series:  19900 funds may not be used to pay more than 50% of the FY base; this amount, which must be pro-rated by a faculty member's total appointment percent, may be averaged over a fiscal year.</t>
    </r>
    <r>
      <rPr>
        <sz val="10"/>
        <color indexed="10"/>
        <rFont val="Arial"/>
        <family val="2"/>
      </rPr>
      <t>*</t>
    </r>
  </si>
  <si>
    <t>5.  Faculty in the Adjunct and In Residence series may not be assigned more than 0.50 FTE, pro-rated by the total appointment percent.*</t>
  </si>
  <si>
    <t>6. However, Clinical or Clinical X series faculty may be paid up to 100% of their FY base from 19900 funds.</t>
  </si>
  <si>
    <t>3.  For non-ladder rank faculty with a full or partial BSE line: at least 50% of the FY base salary, pro-rated by percent of the FTE assigned, must be paid from 19900 (e.g., the formula to be applied for a faculty member assigned a 0.25 FTE: 50% of FY base dollars x .25 FTE = minimum dollars that must be paid from 19900); this amount may, however, be averaged over a fiscal year.</t>
  </si>
  <si>
    <t>Employee ID:</t>
  </si>
  <si>
    <t>Enter the faculty member's Employee Number, Last and First Name and the inclusive period covered by the funding information you are going to enter.</t>
  </si>
  <si>
    <t>1. The General Health Sciences Comp Plan limits the total salary of faculty who  are members of this plan to a maximum of 1.825 times their fiscal year base, but the Medical School Clinical Compensation Plan imposes no limita-tions on faculty salaries.</t>
  </si>
  <si>
    <t>2. All School of Medicine faculty who are members of the Gencomp Plan must be paid on Scale 1; faculty who are members of the Medical School Clinical Compensation Plan, however, may be assigned to Scales 0 through 8, depending on the Scale approved for their departmental or divisional Academic Programmatic Unit.</t>
  </si>
  <si>
    <t>Percentage by DOS Code</t>
  </si>
  <si>
    <t xml:space="preserve">Monthly </t>
  </si>
  <si>
    <t>Annual</t>
  </si>
  <si>
    <t>Tab down to the 'Scale' field and enter the number of the compensation plan salary scale (i.e., Scale 0 through 9) on which this faculty member is paid.</t>
  </si>
  <si>
    <r>
      <t xml:space="preserve">1.  Above Scale salaries result when a faculty member at the full professor level is approved for a merit advancement </t>
    </r>
    <r>
      <rPr>
        <u/>
        <sz val="10"/>
        <rFont val="Arial"/>
        <family val="2"/>
      </rPr>
      <t>beyond</t>
    </r>
    <r>
      <rPr>
        <sz val="10"/>
        <rFont val="Arial"/>
        <family val="2"/>
      </rPr>
      <t xml:space="preserve"> the highest step on the UC faculty fiscal year salary scale; at the present time, this would apply to any merit advancement beyond Professor, step 9.  (N.B.: When this occurs, the Step field in the individual's EDB record is blank, but an 'A' is recorded in the Off/Above Scale field).</t>
    </r>
  </si>
  <si>
    <t>SCALE 8</t>
  </si>
  <si>
    <t>SCALE 9</t>
  </si>
  <si>
    <t>Enter Information in the blue shaded areas below:</t>
  </si>
  <si>
    <t>FY2005 NIH Salary Cap 1/1/05-12/31/05</t>
  </si>
  <si>
    <t>FY2006 NIH Salary Cap 1/1/06-12/31/06</t>
  </si>
  <si>
    <t>FY2007 NIH Salary Cap 1/1/2007 - 12/31/2007</t>
  </si>
  <si>
    <t>FY2007 NIH Salary Cap 1/1/2007 - 12/31/07</t>
  </si>
  <si>
    <t>FY2008 CIRM Salary Cap 1/1/08 - Forward</t>
  </si>
  <si>
    <t>FY2008 NIH Salary Cap 1/1/2008 - 12/31/08</t>
  </si>
  <si>
    <r>
      <t>State sources cannot be used for salary support above Scale 0 for Health Sciences Compensation Plan faculty. Included in this restriction are funds from Industry-University Cooperative Research Program (IUCRP) programs, such as Discovery Grants.  </t>
    </r>
    <r>
      <rPr>
        <b/>
        <sz val="11"/>
        <color indexed="10"/>
        <rFont val="Arial"/>
        <family val="2"/>
      </rPr>
      <t>Please note that this applies to all funding in the 199xx as well as 18xxx series of fund numbers.</t>
    </r>
  </si>
  <si>
    <t>New for 2009: State Sources for Salary Support</t>
  </si>
  <si>
    <t>FY2009 NIH Salary Cap 1/1/09 - Forward</t>
  </si>
  <si>
    <t>FY2008 CIRM Salary Cap 7/1/2007 - 12/31/07</t>
  </si>
  <si>
    <t>HRG</t>
  </si>
  <si>
    <r>
      <t>HRG</t>
    </r>
    <r>
      <rPr>
        <b/>
        <sz val="10"/>
        <rFont val="Arial"/>
        <family val="2"/>
      </rPr>
      <t xml:space="preserve"> (formerly REG)</t>
    </r>
  </si>
  <si>
    <t>XAC (formerly BYA)</t>
  </si>
  <si>
    <t>Tab down to the appropriate rank for this individual and enter either an 'x' (for an instructor) or the appropriate step (for faculty at the assistant, associate or full professor level).  The fields headed 'Full-Time Compensation by DOS Type' will now be populated with the applicable HRG (formerly REG) (i.e., Fiscal Year Base), HST, HSR, HSC, and Total dollar amounts.  These derived amounts are based on what you entered as Annual Salary or X Factor, Total Percent Time, Scale, Rank and Step.</t>
  </si>
  <si>
    <r>
      <t>Now Tab down to enter funding information.  For each line, you may elect to enter either a monthly Target Percent or a monthly Target Dollar amount.  Remember: if a faculty member's salary exceeds the lower NIH cap rate and your are using a fund source subject to the cap, you must enter a number between 1 and 5 in the NIH cap field in order for the NIH salary differential dollars to be calculated correctly.*  The spreadsheet will distribute available dollars from each fund source to the various salary types (i.e., DOS codes) in the following order: HRG (formerly REG), HST, HSR, and HSC.  IT IS THEREFORE ESSENTIAL that any fund source limited by policy to paying fiscal year base only (i.e., 19900 and/or any other 199xx funds) MUST be entered first, and the dollar amount requested from all 19900 or 199xx funds combined may not exceed the individual's fiscal year base).</t>
    </r>
    <r>
      <rPr>
        <sz val="10"/>
        <color indexed="12"/>
        <rFont val="Arial"/>
        <family val="2"/>
      </rPr>
      <t/>
    </r>
  </si>
  <si>
    <t>Page down until the 'Total Compensation Distribution' line at the bottom of the 'Funding Information' section is visible.  You will see that 'Derived Dollars' and 'Actual Percent' fields are now populated by fund; the 'Distribution' section's HRG (formerly REG), HST, HSR, HSC and TOTAL fields are populated with appropriate percents by fund, and the NIH Salary Cap Differential fields, where required, are populated with dollar amounts.  The amount shown in the 'Total Derived Dollars' field (plus any NIH Salary Cap Differential that is required) should equal the Total Monthly salary indicated above.</t>
  </si>
  <si>
    <t>The instructions for on-scale PAF calculations also apply for off-scale calculations, with the following additional requirement:  Enter the approved off-scale annual fiscal year base rate at the appropriate rank in the column headed HRG (formerly REG) under 'Full-Time Compensation by DOS Type' (you will notice that this column is yellow in the off-scale spreadsheet, to indicate that you may enter data in these fields).</t>
  </si>
  <si>
    <t>2.  The spreadsheet will calculate all components of the faculty member's salary (i.e., HRG (formerly REG), HST, HSR and HSC) based on the approved Above Scale base that you have entered.</t>
  </si>
  <si>
    <t>1. 19900 Funds (in fact, any 199xx funds) may ONLY be used to pay Fiscal Year base, i.e., may be used only on lines with DOS codes HRG (formerly REG) or XAC (formerly BYA).</t>
  </si>
  <si>
    <r>
      <t>* XAC (formerly BYA)</t>
    </r>
    <r>
      <rPr>
        <sz val="8"/>
        <rFont val="Arial"/>
        <family val="2"/>
      </rPr>
      <t xml:space="preserve">=DOS code for salary differential on HRG (formerly REG) lines subject to NIH cap adjustment; covered by same benefits as HRG (formerly REG) lines; may only be charged to discretionary funds (N.B., in particular, may </t>
    </r>
    <r>
      <rPr>
        <u/>
        <sz val="8"/>
        <rFont val="Arial"/>
        <family val="2"/>
      </rPr>
      <t>never</t>
    </r>
    <r>
      <rPr>
        <sz val="8"/>
        <rFont val="Arial"/>
        <family val="2"/>
      </rPr>
      <t xml:space="preserve"> be charged to federal, state, county or city funds).</t>
    </r>
  </si>
  <si>
    <t>FY2009 NIH Salary Cap 1/1/09 -12/31/09</t>
  </si>
  <si>
    <r>
      <t xml:space="preserve">FY2009 NIH Salary Cap 01/01/10 - </t>
    </r>
    <r>
      <rPr>
        <sz val="10"/>
        <rFont val="Arial"/>
        <family val="2"/>
      </rPr>
      <t>01/08/12</t>
    </r>
  </si>
  <si>
    <t>Due to questions raised regarding the National Institutes of Health (NIH) Salary Cap Notice, additional guidance has been received from the NIH, and the following matrix has been prepared which explains the implementation of the changes from Executive Level 1 to Executive Level 2.</t>
  </si>
  <si>
    <t>NOA Issue Date</t>
  </si>
  <si>
    <t>Type of Award</t>
  </si>
  <si>
    <t>Applicable Salary Cap</t>
  </si>
  <si>
    <t>Rebudget Allowed for Loss in Cap</t>
  </si>
  <si>
    <t>Payroll Reduction/Adjustment</t>
  </si>
  <si>
    <t>Change of Existing Award ID and/or Fund</t>
  </si>
  <si>
    <t>Prior to 10/1/11</t>
  </si>
  <si>
    <t>New / Competing Renewal / Non-competing Continuation</t>
  </si>
  <si>
    <t>N/A</t>
  </si>
  <si>
    <t>No change</t>
  </si>
  <si>
    <t>No</t>
  </si>
  <si>
    <t>10/1/11 - 12/22/11 *</t>
  </si>
  <si>
    <t>New / Competing Renewal</t>
  </si>
  <si>
    <t>$199,700 </t>
  </si>
  <si>
    <t>($179,700 will apply to subsequent budget periods)</t>
  </si>
  <si>
    <t>No - budget will be reduced in subsequent periods</t>
  </si>
  <si>
    <t>No for current budget period - $199,700 Yes for subsequent budget periods - $179,700</t>
  </si>
  <si>
    <t>Non-competing Continuation</t>
  </si>
  <si>
    <t>($179,700 will apply subsequent budget periods)</t>
  </si>
  <si>
    <t>Yes - rebudgeting allowed in subsequent budget periods</t>
  </si>
  <si>
    <t>No - budget will be reduced</t>
  </si>
  <si>
    <t>Yes - $179,700</t>
  </si>
  <si>
    <t>*See this link for awards issued 10/1/11 – 12/22/11:  FY2012 Grants Subject to Executive Level I Salary Cap</t>
  </si>
  <si>
    <t>Rebudgeting examples and additional NIH guidance are available at:   http://grants.nih.gov/grants/guide/notice-files/NOT-OD-12-035.html</t>
  </si>
  <si>
    <t>If you have questions regarding the above matrix, please contact John Radkowski in Contracts &amp; Grants or Susan Lin in the Controller’s Office.</t>
  </si>
  <si>
    <t>John Radkowski</t>
  </si>
  <si>
    <t>Susan Lin</t>
  </si>
  <si>
    <t>Note added February 2, 2012</t>
  </si>
  <si>
    <t>Salary Calculation Worksheet for HSCP Faculty</t>
  </si>
  <si>
    <t>FY2012 CIRM Salary Cap 07/01/12-06/30/14</t>
  </si>
  <si>
    <t>Minimum</t>
  </si>
  <si>
    <t>A</t>
  </si>
  <si>
    <t>RATE</t>
  </si>
  <si>
    <t>Above_Scale_Minimum</t>
  </si>
  <si>
    <t>ROUND(IF(ISERROR($E$30*((L36)/Annual_Salary)),0,$E$30*((L36)/Annual_Salary)),4)</t>
  </si>
  <si>
    <t>Original Formulas for J78:M78</t>
  </si>
  <si>
    <t>ROUND(IF(ISERROR($E$30*(J36/Annual_Salary)),0,$E$30*(J36/Annual_Salary)),4)</t>
  </si>
  <si>
    <t>ROUND(IF(ISERROR($E$30*((K36)/Annual_Salary)),0,$E$30*((K36)/Annual_Salary)),4)</t>
  </si>
  <si>
    <t>IF(ISERROR($E$30-SUM(J78:L78)),0,$E$30-SUM(J78:L78))</t>
  </si>
  <si>
    <t>NJW:  Lookup Table for Above Scale Minimums - data entry in cells above D25:Z25</t>
  </si>
  <si>
    <t>Fund Number</t>
  </si>
  <si>
    <t>Dept ID</t>
  </si>
  <si>
    <t>Project</t>
  </si>
  <si>
    <t>Function Code</t>
  </si>
  <si>
    <t>Flexfield</t>
  </si>
  <si>
    <t>Action</t>
  </si>
  <si>
    <t xml:space="preserve">Func </t>
  </si>
  <si>
    <t>Flex</t>
  </si>
  <si>
    <t>Additional Compensation</t>
  </si>
  <si>
    <t>Mo. Amt</t>
  </si>
  <si>
    <t>Begin Date:</t>
  </si>
  <si>
    <t>End Date:</t>
  </si>
  <si>
    <t>BYZ - HSCP Incentive</t>
  </si>
  <si>
    <t>BYN - By Agreement</t>
  </si>
  <si>
    <t>Above Scale</t>
  </si>
  <si>
    <t>Off Scale</t>
  </si>
  <si>
    <t>Chartstring for XAC, HBT, HSA , BYC</t>
  </si>
  <si>
    <t>FY2014 NIH Salary Cap 01/12/14-Forward</t>
  </si>
  <si>
    <t>FY2012 NIH Salary Cap 12/23/11-01/11/14</t>
  </si>
  <si>
    <t>Yes - $181,500</t>
  </si>
  <si>
    <t>12/23/2011 - 1/31/2014</t>
  </si>
  <si>
    <t>On and after 2/1/2014</t>
  </si>
  <si>
    <t>FY2014 NIH Salary Cap 01/11/15-Forward</t>
  </si>
  <si>
    <t>FY2014 Komen Salary Cap</t>
  </si>
  <si>
    <t>After the Annual Salary or X Factor has been entered, the field, 'Is Salary over low NIH Salary Cap?', will display either a 'Yes' or a 'No'.  A 'Yes' indicates that if any funding sources are subject to the NIH salary cap, enter a number 11-24 to the left of the capped account/fund number (i.e., in the column headed 'NIH Cap') to indicate which NIH cap you plan to use for each fund.  Please note, however, that a 'Yes' in that field does not necessarily mean that any of this individual's salary is NIH funded, only that his/her total salary is greater than the lower of the two caps.</t>
  </si>
  <si>
    <t>On and after 2/1/2015</t>
  </si>
  <si>
    <t>Yes - $183300</t>
  </si>
  <si>
    <r>
      <t xml:space="preserve">3. </t>
    </r>
    <r>
      <rPr>
        <sz val="10"/>
        <rFont val="Arial"/>
        <family val="2"/>
      </rPr>
      <t xml:space="preserve"> Above Scale Merits</t>
    </r>
    <r>
      <rPr>
        <b/>
        <sz val="10"/>
        <rFont val="Arial"/>
        <family val="2"/>
      </rPr>
      <t>:</t>
    </r>
    <r>
      <rPr>
        <sz val="10"/>
        <rFont val="Arial"/>
        <family val="2"/>
      </rPr>
      <t xml:space="preserve">  The annual fiscal year base resulting from the first Above Scale merit should equal an amount 5% above the step 9 FY base; this amount must be rounded to the nearest hundred.  Any subsequent Above Scale merits are to be calculated as 5% increases to the prior FY base (and must also be rounded to the nearest hundred). See attached Above Scale Cheat Sheet for those rates</t>
    </r>
  </si>
  <si>
    <t>BSE, STP, ST1 - Base and Stipends</t>
  </si>
  <si>
    <t>DOS</t>
  </si>
  <si>
    <t>FY2016 NIH Salary Cap 01/10/16-Forward</t>
  </si>
  <si>
    <t>Version Update: 06/03/16</t>
  </si>
  <si>
    <t>Effective 07/01/16 Forward</t>
  </si>
  <si>
    <t xml:space="preserve">Version Update: 06/03/16    </t>
  </si>
  <si>
    <t xml:space="preserve">Version Update: 06/03/16   </t>
  </si>
  <si>
    <t>HSCP Salary Scales as revised July 1,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</si>
</sst>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6" formatCode="&quot;$&quot;#,##0_);[Red]\(&quot;$&quot;#,##0\)"/>
    <numFmt numFmtId="44" formatCode="_(&quot;$&quot;* #,##0.00_);_(&quot;$&quot;* \(#,##0.00\);_(&quot;$&quot;* &quot;-&quot;??_);_(@_)"/>
    <numFmt numFmtId="43" formatCode="_(* #,##0.00_);_(* \(#,##0.00\);_(* &quot;-&quot;??_);_(@_)"/>
    <numFmt numFmtId="164" formatCode="0.0000"/>
    <numFmt numFmtId="165" formatCode="#,##0.0000"/>
    <numFmt numFmtId="166" formatCode="_(* #,##0_);_(* \(#,##0\);_(* &quot;-&quot;??_);_(@_)"/>
    <numFmt numFmtId="167" formatCode="#,##0.000000"/>
    <numFmt numFmtId="168" formatCode="0.000000"/>
    <numFmt numFmtId="169" formatCode="0;0;0"/>
    <numFmt numFmtId="170" formatCode="_(&quot;$&quot;* #,##0_);_(&quot;$&quot;* \(#,##0\);_(&quot;$&quot;* &quot;-&quot;??_);_(@_)"/>
    <numFmt numFmtId="171" formatCode="_(&quot;$&quot;* #,##0.0000_);_(&quot;$&quot;* \(#,##0.0000\);_(&quot;$&quot;* &quot;-&quot;??_);_(@_)"/>
    <numFmt numFmtId="172" formatCode="#,##0.00000"/>
    <numFmt numFmtId="173" formatCode="#,##0.0000_);\(#,##0.0000\)"/>
    <numFmt numFmtId="174" formatCode="0.00000"/>
    <numFmt numFmtId="175" formatCode="&quot;$&quot;#,##0.00"/>
    <numFmt numFmtId="176" formatCode="#,##0;#,##0"/>
  </numFmts>
  <fonts count="49" x14ac:knownFonts="1">
    <font>
      <sz val="10"/>
      <name val="Arial"/>
    </font>
    <font>
      <sz val="10"/>
      <name val="Arial"/>
      <family val="2"/>
    </font>
    <font>
      <b/>
      <sz val="10"/>
      <name val="Arial"/>
      <family val="2"/>
    </font>
    <font>
      <i/>
      <sz val="10"/>
      <name val="Arial"/>
      <family val="2"/>
    </font>
    <font>
      <u/>
      <sz val="10"/>
      <name val="Arial"/>
      <family val="2"/>
    </font>
    <font>
      <b/>
      <sz val="8"/>
      <name val="Arial"/>
      <family val="2"/>
    </font>
    <font>
      <sz val="9"/>
      <name val="Arial"/>
      <family val="2"/>
    </font>
    <font>
      <sz val="8"/>
      <color indexed="10"/>
      <name val="Arial"/>
      <family val="2"/>
    </font>
    <font>
      <sz val="10"/>
      <color indexed="10"/>
      <name val="Arial"/>
      <family val="2"/>
    </font>
    <font>
      <b/>
      <sz val="10"/>
      <color indexed="10"/>
      <name val="Arial"/>
      <family val="2"/>
    </font>
    <font>
      <sz val="8"/>
      <color indexed="81"/>
      <name val="Tahoma"/>
      <family val="2"/>
    </font>
    <font>
      <b/>
      <u/>
      <sz val="10"/>
      <name val="Arial"/>
      <family val="2"/>
    </font>
    <font>
      <sz val="10"/>
      <name val="Arial"/>
      <family val="2"/>
    </font>
    <font>
      <b/>
      <sz val="8"/>
      <color indexed="81"/>
      <name val="Tahoma"/>
      <family val="2"/>
    </font>
    <font>
      <b/>
      <sz val="29"/>
      <color indexed="17"/>
      <name val="Arial"/>
      <family val="2"/>
    </font>
    <font>
      <b/>
      <sz val="29"/>
      <name val="Arial"/>
      <family val="2"/>
    </font>
    <font>
      <b/>
      <sz val="29"/>
      <color indexed="12"/>
      <name val="Arial"/>
      <family val="2"/>
    </font>
    <font>
      <sz val="8"/>
      <name val="Arial"/>
      <family val="2"/>
    </font>
    <font>
      <u/>
      <sz val="10"/>
      <color indexed="12"/>
      <name val="Arial"/>
      <family val="2"/>
    </font>
    <font>
      <b/>
      <sz val="10"/>
      <color indexed="21"/>
      <name val="Arial"/>
      <family val="2"/>
    </font>
    <font>
      <sz val="10"/>
      <color indexed="21"/>
      <name val="Arial"/>
      <family val="2"/>
    </font>
    <font>
      <sz val="10"/>
      <color indexed="12"/>
      <name val="Arial"/>
      <family val="2"/>
    </font>
    <font>
      <u/>
      <sz val="8"/>
      <name val="Arial"/>
      <family val="2"/>
    </font>
    <font>
      <b/>
      <sz val="12"/>
      <color indexed="12"/>
      <name val="Arial"/>
      <family val="2"/>
    </font>
    <font>
      <b/>
      <sz val="12"/>
      <name val="Arial"/>
      <family val="2"/>
    </font>
    <font>
      <u/>
      <sz val="12"/>
      <color indexed="12"/>
      <name val="Arial"/>
      <family val="2"/>
    </font>
    <font>
      <sz val="10"/>
      <color indexed="8"/>
      <name val="Arial"/>
      <family val="2"/>
    </font>
    <font>
      <b/>
      <sz val="10"/>
      <color indexed="53"/>
      <name val="Arial"/>
      <family val="2"/>
    </font>
    <font>
      <b/>
      <i/>
      <sz val="14"/>
      <color indexed="8"/>
      <name val="Arial"/>
      <family val="2"/>
    </font>
    <font>
      <sz val="11"/>
      <color indexed="8"/>
      <name val="Arial"/>
      <family val="2"/>
    </font>
    <font>
      <b/>
      <sz val="11"/>
      <color indexed="10"/>
      <name val="Arial"/>
      <family val="2"/>
    </font>
    <font>
      <b/>
      <i/>
      <sz val="14"/>
      <name val="Arial"/>
      <family val="2"/>
    </font>
    <font>
      <b/>
      <sz val="14"/>
      <name val="Arial"/>
      <family val="2"/>
    </font>
    <font>
      <b/>
      <i/>
      <sz val="15"/>
      <color indexed="8"/>
      <name val="Arial"/>
      <family val="2"/>
    </font>
    <font>
      <b/>
      <i/>
      <sz val="15"/>
      <name val="Arial"/>
      <family val="2"/>
    </font>
    <font>
      <b/>
      <sz val="11"/>
      <name val="Arial"/>
      <family val="2"/>
    </font>
    <font>
      <b/>
      <sz val="14"/>
      <color rgb="FFFF0000"/>
      <name val="Arial"/>
      <family val="2"/>
    </font>
    <font>
      <b/>
      <sz val="29"/>
      <color rgb="FF000090"/>
      <name val="Arial"/>
      <family val="2"/>
    </font>
    <font>
      <u/>
      <sz val="10"/>
      <color theme="11"/>
      <name val="Arial"/>
      <family val="2"/>
    </font>
    <font>
      <b/>
      <sz val="12"/>
      <name val="Calibri"/>
      <family val="2"/>
    </font>
    <font>
      <sz val="10"/>
      <name val="Arial"/>
      <family val="2"/>
    </font>
    <font>
      <sz val="10"/>
      <color rgb="FFFF0000"/>
      <name val="Arial"/>
      <family val="2"/>
    </font>
    <font>
      <b/>
      <sz val="10"/>
      <color rgb="FFFF0000"/>
      <name val="Arial"/>
      <family val="2"/>
    </font>
    <font>
      <i/>
      <sz val="9"/>
      <color rgb="FFFF0000"/>
      <name val="Arial"/>
      <family val="2"/>
    </font>
    <font>
      <b/>
      <sz val="8"/>
      <color rgb="FFFF0000"/>
      <name val="Arial"/>
      <family val="2"/>
    </font>
    <font>
      <b/>
      <sz val="24"/>
      <color rgb="FF000090"/>
      <name val="Arial"/>
      <family val="2"/>
    </font>
    <font>
      <b/>
      <sz val="12"/>
      <color rgb="FFFF0000"/>
      <name val="Arial"/>
      <family val="2"/>
    </font>
    <font>
      <sz val="10"/>
      <color rgb="FF000000"/>
      <name val="Arial"/>
      <family val="2"/>
    </font>
    <font>
      <b/>
      <sz val="18"/>
      <name val="Arial"/>
      <family val="2"/>
    </font>
  </fonts>
  <fills count="17">
    <fill>
      <patternFill patternType="none"/>
    </fill>
    <fill>
      <patternFill patternType="gray125"/>
    </fill>
    <fill>
      <patternFill patternType="solid">
        <fgColor indexed="6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1"/>
        <bgColor indexed="64"/>
      </patternFill>
    </fill>
    <fill>
      <patternFill patternType="solid">
        <fgColor indexed="13"/>
        <bgColor indexed="64"/>
      </patternFill>
    </fill>
    <fill>
      <patternFill patternType="solid">
        <fgColor rgb="FFD5D1B5"/>
        <bgColor indexed="64"/>
      </patternFill>
    </fill>
    <fill>
      <patternFill patternType="solid">
        <fgColor theme="7" tint="0.79998168889431442"/>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FFCC"/>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5" tint="0.79998168889431442"/>
        <bgColor indexed="64"/>
      </patternFill>
    </fill>
  </fills>
  <borders count="1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medium">
        <color auto="1"/>
      </top>
      <bottom/>
      <diagonal/>
    </border>
    <border>
      <left/>
      <right style="medium">
        <color auto="1"/>
      </right>
      <top/>
      <bottom/>
      <diagonal/>
    </border>
    <border>
      <left/>
      <right/>
      <top style="medium">
        <color auto="1"/>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style="double">
        <color auto="1"/>
      </top>
      <bottom/>
      <diagonal/>
    </border>
    <border>
      <left/>
      <right/>
      <top/>
      <bottom style="double">
        <color auto="1"/>
      </bottom>
      <diagonal/>
    </border>
    <border>
      <left style="thin">
        <color auto="1"/>
      </left>
      <right style="thin">
        <color auto="1"/>
      </right>
      <top/>
      <bottom style="double">
        <color auto="1"/>
      </bottom>
      <diagonal/>
    </border>
    <border>
      <left/>
      <right style="thin">
        <color auto="1"/>
      </right>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style="double">
        <color auto="1"/>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right style="double">
        <color auto="1"/>
      </right>
      <top/>
      <bottom style="thin">
        <color auto="1"/>
      </bottom>
      <diagonal/>
    </border>
    <border>
      <left style="thin">
        <color auto="1"/>
      </left>
      <right style="thin">
        <color auto="1"/>
      </right>
      <top style="thin">
        <color auto="1"/>
      </top>
      <bottom style="medium">
        <color auto="1"/>
      </bottom>
      <diagonal/>
    </border>
    <border>
      <left style="double">
        <color auto="1"/>
      </left>
      <right/>
      <top/>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double">
        <color auto="1"/>
      </left>
      <right/>
      <top style="double">
        <color auto="1"/>
      </top>
      <bottom/>
      <diagonal/>
    </border>
    <border>
      <left style="double">
        <color auto="1"/>
      </left>
      <right/>
      <top/>
      <bottom style="double">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double">
        <color auto="1"/>
      </top>
      <bottom style="thin">
        <color auto="1"/>
      </bottom>
      <diagonal/>
    </border>
    <border>
      <left/>
      <right/>
      <top style="thin">
        <color auto="1"/>
      </top>
      <bottom style="double">
        <color auto="1"/>
      </bottom>
      <diagonal/>
    </border>
    <border>
      <left style="hair">
        <color indexed="17"/>
      </left>
      <right/>
      <top style="hair">
        <color indexed="17"/>
      </top>
      <bottom/>
      <diagonal/>
    </border>
    <border>
      <left style="thin">
        <color auto="1"/>
      </left>
      <right style="medium">
        <color auto="1"/>
      </right>
      <top style="thin">
        <color auto="1"/>
      </top>
      <bottom/>
      <diagonal/>
    </border>
    <border>
      <left style="thin">
        <color auto="1"/>
      </left>
      <right/>
      <top style="thin">
        <color auto="1"/>
      </top>
      <bottom style="double">
        <color auto="1"/>
      </bottom>
      <diagonal/>
    </border>
    <border>
      <left/>
      <right style="thin">
        <color auto="1"/>
      </right>
      <top/>
      <bottom style="medium">
        <color auto="1"/>
      </bottom>
      <diagonal/>
    </border>
    <border>
      <left style="medium">
        <color auto="1"/>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style="medium">
        <color auto="1"/>
      </bottom>
      <diagonal/>
    </border>
    <border>
      <left/>
      <right style="medium">
        <color auto="1"/>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top style="medium">
        <color auto="1"/>
      </top>
      <bottom style="double">
        <color auto="1"/>
      </bottom>
      <diagonal/>
    </border>
    <border>
      <left/>
      <right style="medium">
        <color auto="1"/>
      </right>
      <top style="medium">
        <color auto="1"/>
      </top>
      <bottom style="double">
        <color auto="1"/>
      </bottom>
      <diagonal/>
    </border>
    <border>
      <left/>
      <right/>
      <top style="medium">
        <color auto="1"/>
      </top>
      <bottom style="double">
        <color auto="1"/>
      </bottom>
      <diagonal/>
    </border>
    <border>
      <left/>
      <right/>
      <top style="hair">
        <color indexed="17"/>
      </top>
      <bottom/>
      <diagonal/>
    </border>
    <border>
      <left/>
      <right style="hair">
        <color indexed="17"/>
      </right>
      <top style="hair">
        <color indexed="17"/>
      </top>
      <bottom/>
      <diagonal/>
    </border>
    <border>
      <left style="hair">
        <color indexed="17"/>
      </left>
      <right/>
      <top/>
      <bottom/>
      <diagonal/>
    </border>
    <border>
      <left/>
      <right style="hair">
        <color indexed="17"/>
      </right>
      <top/>
      <bottom/>
      <diagonal/>
    </border>
    <border>
      <left style="hair">
        <color indexed="17"/>
      </left>
      <right/>
      <top/>
      <bottom style="hair">
        <color indexed="17"/>
      </bottom>
      <diagonal/>
    </border>
    <border>
      <left/>
      <right/>
      <top/>
      <bottom style="hair">
        <color indexed="17"/>
      </bottom>
      <diagonal/>
    </border>
    <border>
      <left/>
      <right style="hair">
        <color indexed="17"/>
      </right>
      <top/>
      <bottom style="hair">
        <color indexed="17"/>
      </bottom>
      <diagonal/>
    </border>
    <border>
      <left style="hair">
        <color indexed="17"/>
      </left>
      <right/>
      <top style="hair">
        <color indexed="17"/>
      </top>
      <bottom style="hair">
        <color indexed="17"/>
      </bottom>
      <diagonal/>
    </border>
    <border>
      <left/>
      <right/>
      <top style="hair">
        <color indexed="17"/>
      </top>
      <bottom style="hair">
        <color indexed="17"/>
      </bottom>
      <diagonal/>
    </border>
    <border>
      <left/>
      <right style="hair">
        <color indexed="17"/>
      </right>
      <top style="hair">
        <color indexed="17"/>
      </top>
      <bottom style="hair">
        <color indexed="17"/>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thin">
        <color auto="1"/>
      </left>
      <right style="medium">
        <color auto="1"/>
      </right>
      <top/>
      <bottom/>
      <diagonal/>
    </border>
    <border>
      <left style="thin">
        <color auto="1"/>
      </left>
      <right/>
      <top style="medium">
        <color auto="1"/>
      </top>
      <bottom/>
      <diagonal/>
    </border>
    <border>
      <left/>
      <right style="thin">
        <color auto="1"/>
      </right>
      <top style="medium">
        <color auto="1"/>
      </top>
      <bottom/>
      <diagonal/>
    </border>
    <border>
      <left style="medium">
        <color auto="1"/>
      </left>
      <right style="thin">
        <color auto="1"/>
      </right>
      <top style="thin">
        <color auto="1"/>
      </top>
      <bottom/>
      <diagonal/>
    </border>
    <border>
      <left style="medium">
        <color auto="1"/>
      </left>
      <right style="medium">
        <color auto="1"/>
      </right>
      <top/>
      <bottom style="thin">
        <color auto="1"/>
      </bottom>
      <diagonal/>
    </border>
    <border>
      <left style="medium">
        <color auto="1"/>
      </left>
      <right style="thin">
        <color auto="1"/>
      </right>
      <top style="medium">
        <color auto="1"/>
      </top>
      <bottom/>
      <diagonal/>
    </border>
    <border>
      <left style="medium">
        <color auto="1"/>
      </left>
      <right/>
      <top style="thin">
        <color auto="1"/>
      </top>
      <bottom style="medium">
        <color auto="1"/>
      </bottom>
      <diagonal/>
    </border>
    <border>
      <left style="medium">
        <color auto="1"/>
      </left>
      <right/>
      <top style="thin">
        <color auto="1"/>
      </top>
      <bottom style="thin">
        <color auto="1"/>
      </bottom>
      <diagonal/>
    </border>
  </borders>
  <cellStyleXfs count="95">
    <xf numFmtId="0" fontId="0" fillId="0" borderId="0"/>
    <xf numFmtId="43" fontId="1" fillId="0" borderId="0" applyFont="0" applyFill="0" applyBorder="0" applyAlignment="0" applyProtection="0"/>
    <xf numFmtId="0" fontId="18" fillId="0" borderId="0" applyNumberFormat="0" applyFill="0" applyBorder="0" applyAlignment="0" applyProtection="0">
      <alignment vertical="top"/>
      <protection locked="0"/>
    </xf>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4" fontId="40"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cellStyleXfs>
  <cellXfs count="755">
    <xf numFmtId="0" fontId="0" fillId="0" borderId="0" xfId="0"/>
    <xf numFmtId="0" fontId="0" fillId="0" borderId="0" xfId="0" applyAlignment="1">
      <alignment horizontal="left"/>
    </xf>
    <xf numFmtId="0" fontId="0" fillId="0" borderId="1" xfId="0" applyBorder="1"/>
    <xf numFmtId="0" fontId="0" fillId="0" borderId="2" xfId="0" applyBorder="1"/>
    <xf numFmtId="0" fontId="0" fillId="0" borderId="3" xfId="0"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0" fillId="0" borderId="6" xfId="0" applyBorder="1"/>
    <xf numFmtId="0" fontId="0" fillId="0" borderId="7" xfId="0" applyBorder="1"/>
    <xf numFmtId="0" fontId="0" fillId="0" borderId="6" xfId="0" applyBorder="1" applyAlignment="1">
      <alignment horizontal="center"/>
    </xf>
    <xf numFmtId="0" fontId="0" fillId="0" borderId="8" xfId="0" applyBorder="1" applyAlignment="1">
      <alignment horizontal="centerContinuous"/>
    </xf>
    <xf numFmtId="0" fontId="0" fillId="0" borderId="9" xfId="0" applyBorder="1" applyAlignment="1">
      <alignment horizontal="centerContinuous"/>
    </xf>
    <xf numFmtId="0" fontId="0" fillId="0" borderId="10" xfId="0" applyBorder="1"/>
    <xf numFmtId="0" fontId="2" fillId="0" borderId="1" xfId="0" applyFont="1" applyBorder="1" applyAlignment="1">
      <alignment horizontal="center"/>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applyAlignment="1">
      <alignment horizontal="center"/>
    </xf>
    <xf numFmtId="0" fontId="0" fillId="0" borderId="18" xfId="0" applyBorder="1"/>
    <xf numFmtId="0" fontId="0" fillId="0" borderId="19" xfId="0" applyBorder="1"/>
    <xf numFmtId="0" fontId="0" fillId="0" borderId="20" xfId="0" applyBorder="1"/>
    <xf numFmtId="0" fontId="0" fillId="0" borderId="16" xfId="0" applyBorder="1" applyAlignment="1">
      <alignment horizontal="center"/>
    </xf>
    <xf numFmtId="0" fontId="0" fillId="0" borderId="11" xfId="0" applyBorder="1" applyAlignment="1">
      <alignment horizontal="center"/>
    </xf>
    <xf numFmtId="0" fontId="0" fillId="0" borderId="21" xfId="0" applyBorder="1" applyAlignment="1">
      <alignment horizontal="center"/>
    </xf>
    <xf numFmtId="0" fontId="0" fillId="0" borderId="13"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5"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Border="1"/>
    <xf numFmtId="0" fontId="0" fillId="0" borderId="26" xfId="0" applyBorder="1"/>
    <xf numFmtId="0" fontId="0" fillId="0" borderId="27" xfId="0" applyBorder="1"/>
    <xf numFmtId="3" fontId="0" fillId="0" borderId="1" xfId="0" applyNumberFormat="1" applyBorder="1"/>
    <xf numFmtId="3" fontId="0" fillId="0" borderId="4" xfId="0" applyNumberFormat="1" applyBorder="1"/>
    <xf numFmtId="3" fontId="0" fillId="0" borderId="28" xfId="0" applyNumberFormat="1" applyBorder="1"/>
    <xf numFmtId="3" fontId="0" fillId="0" borderId="29" xfId="0" applyNumberFormat="1" applyBorder="1"/>
    <xf numFmtId="0" fontId="3" fillId="0" borderId="30" xfId="0" applyFont="1" applyBorder="1"/>
    <xf numFmtId="0" fontId="0" fillId="0" borderId="30" xfId="0" applyBorder="1" applyAlignment="1">
      <alignment horizontal="centerContinuous"/>
    </xf>
    <xf numFmtId="0" fontId="0" fillId="0" borderId="31" xfId="0" applyBorder="1" applyAlignment="1">
      <alignment horizontal="centerContinuous"/>
    </xf>
    <xf numFmtId="0" fontId="0" fillId="0" borderId="32" xfId="0" applyBorder="1" applyAlignment="1">
      <alignment horizontal="centerContinuous"/>
    </xf>
    <xf numFmtId="0" fontId="3" fillId="0" borderId="0" xfId="0" applyFont="1"/>
    <xf numFmtId="0" fontId="0" fillId="0" borderId="0" xfId="0" applyAlignment="1">
      <alignment horizontal="center"/>
    </xf>
    <xf numFmtId="3" fontId="0" fillId="0" borderId="33" xfId="0" applyNumberFormat="1" applyBorder="1"/>
    <xf numFmtId="3" fontId="0" fillId="0" borderId="0" xfId="0" applyNumberFormat="1" applyBorder="1"/>
    <xf numFmtId="0" fontId="0" fillId="0" borderId="34" xfId="0" applyBorder="1"/>
    <xf numFmtId="0" fontId="0" fillId="0" borderId="35" xfId="0" applyBorder="1"/>
    <xf numFmtId="0" fontId="0" fillId="0" borderId="36" xfId="0" applyBorder="1"/>
    <xf numFmtId="0" fontId="2" fillId="0" borderId="0" xfId="0" applyFont="1" applyBorder="1"/>
    <xf numFmtId="3" fontId="0" fillId="0" borderId="0" xfId="0" applyNumberFormat="1"/>
    <xf numFmtId="0" fontId="2" fillId="0" borderId="0" xfId="0" applyFont="1" applyAlignment="1">
      <alignment horizontal="centerContinuous"/>
    </xf>
    <xf numFmtId="0" fontId="0" fillId="0" borderId="0" xfId="0" applyBorder="1" applyAlignment="1">
      <alignment horizontal="left"/>
    </xf>
    <xf numFmtId="0" fontId="2" fillId="0" borderId="4" xfId="0" applyFont="1" applyBorder="1" applyAlignment="1">
      <alignment horizontal="center"/>
    </xf>
    <xf numFmtId="0" fontId="2" fillId="0" borderId="37" xfId="0" applyFont="1" applyBorder="1" applyAlignment="1">
      <alignment horizontal="center"/>
    </xf>
    <xf numFmtId="0" fontId="2" fillId="0" borderId="38" xfId="0" applyFont="1" applyBorder="1" applyAlignment="1">
      <alignment horizontal="centerContinuous"/>
    </xf>
    <xf numFmtId="0" fontId="2" fillId="0" borderId="10" xfId="0" applyFont="1" applyBorder="1" applyAlignment="1">
      <alignment horizontal="centerContinuous"/>
    </xf>
    <xf numFmtId="0" fontId="0" fillId="0" borderId="27" xfId="0" applyBorder="1" applyAlignment="1">
      <alignment horizontal="left"/>
    </xf>
    <xf numFmtId="0" fontId="0" fillId="0" borderId="3" xfId="0" applyBorder="1"/>
    <xf numFmtId="0" fontId="0" fillId="0" borderId="4" xfId="0" applyBorder="1"/>
    <xf numFmtId="0" fontId="0" fillId="0" borderId="39" xfId="0" applyBorder="1" applyAlignment="1">
      <alignment horizontal="center"/>
    </xf>
    <xf numFmtId="164" fontId="0" fillId="0" borderId="1" xfId="0" applyNumberFormat="1" applyBorder="1" applyAlignment="1">
      <alignment horizontal="center"/>
    </xf>
    <xf numFmtId="164" fontId="0" fillId="0" borderId="14" xfId="0" applyNumberFormat="1" applyBorder="1" applyAlignment="1">
      <alignment horizontal="center"/>
    </xf>
    <xf numFmtId="164" fontId="2" fillId="0" borderId="1" xfId="0" applyNumberFormat="1" applyFont="1" applyBorder="1"/>
    <xf numFmtId="164" fontId="0" fillId="2" borderId="4" xfId="0" applyNumberFormat="1" applyFill="1" applyBorder="1"/>
    <xf numFmtId="164" fontId="0" fillId="0" borderId="1" xfId="0" applyNumberFormat="1" applyBorder="1"/>
    <xf numFmtId="164" fontId="0" fillId="2" borderId="1" xfId="0" applyNumberFormat="1" applyFill="1" applyBorder="1"/>
    <xf numFmtId="164" fontId="0" fillId="0" borderId="0" xfId="0" applyNumberFormat="1"/>
    <xf numFmtId="164" fontId="2" fillId="0" borderId="0" xfId="0" applyNumberFormat="1" applyFont="1" applyBorder="1" applyAlignment="1">
      <alignment horizontal="left"/>
    </xf>
    <xf numFmtId="0" fontId="4" fillId="0" borderId="0" xfId="0" applyFont="1" applyBorder="1"/>
    <xf numFmtId="0" fontId="0" fillId="0" borderId="40" xfId="0" applyBorder="1" applyAlignment="1">
      <alignment horizontal="left"/>
    </xf>
    <xf numFmtId="0" fontId="0" fillId="0" borderId="41" xfId="0" applyBorder="1" applyAlignment="1">
      <alignment horizontal="left"/>
    </xf>
    <xf numFmtId="0" fontId="0" fillId="0" borderId="41" xfId="0" applyBorder="1"/>
    <xf numFmtId="0" fontId="0" fillId="0" borderId="42" xfId="0" applyBorder="1" applyAlignment="1">
      <alignment horizontal="left"/>
    </xf>
    <xf numFmtId="0" fontId="0" fillId="0" borderId="43" xfId="0" applyBorder="1" applyAlignment="1">
      <alignment horizontal="left"/>
    </xf>
    <xf numFmtId="0" fontId="0" fillId="0" borderId="43" xfId="0" applyBorder="1"/>
    <xf numFmtId="0" fontId="2" fillId="0" borderId="35" xfId="0" applyFont="1" applyBorder="1" applyAlignment="1">
      <alignment horizontal="center"/>
    </xf>
    <xf numFmtId="0" fontId="0" fillId="0" borderId="44" xfId="0" applyBorder="1"/>
    <xf numFmtId="0" fontId="0" fillId="0" borderId="45" xfId="0" applyBorder="1"/>
    <xf numFmtId="0" fontId="0" fillId="0" borderId="46" xfId="0" applyBorder="1"/>
    <xf numFmtId="3" fontId="0" fillId="0" borderId="42" xfId="0" applyNumberFormat="1" applyBorder="1"/>
    <xf numFmtId="0" fontId="0" fillId="0" borderId="41" xfId="0" applyBorder="1" applyAlignment="1">
      <alignment horizontal="centerContinuous"/>
    </xf>
    <xf numFmtId="0" fontId="0" fillId="0" borderId="0" xfId="0" applyBorder="1" applyAlignment="1">
      <alignment horizontal="centerContinuous"/>
    </xf>
    <xf numFmtId="0" fontId="0" fillId="0" borderId="43" xfId="0" applyBorder="1" applyAlignment="1">
      <alignment horizontal="centerContinuous"/>
    </xf>
    <xf numFmtId="3" fontId="0" fillId="0" borderId="0" xfId="0" applyNumberFormat="1" applyBorder="1" applyAlignment="1">
      <alignment horizontal="center"/>
    </xf>
    <xf numFmtId="0" fontId="0" fillId="0" borderId="42" xfId="0" applyBorder="1"/>
    <xf numFmtId="0" fontId="0" fillId="0" borderId="44" xfId="0" applyBorder="1" applyAlignment="1">
      <alignment horizontal="center"/>
    </xf>
    <xf numFmtId="164" fontId="0" fillId="0" borderId="45"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centerContinuous"/>
    </xf>
    <xf numFmtId="0" fontId="0" fillId="0" borderId="46" xfId="0" applyBorder="1" applyAlignment="1">
      <alignment horizontal="center"/>
    </xf>
    <xf numFmtId="10" fontId="0" fillId="0" borderId="41" xfId="0" applyNumberFormat="1" applyBorder="1"/>
    <xf numFmtId="0" fontId="5" fillId="0" borderId="41" xfId="0" applyFont="1" applyBorder="1"/>
    <xf numFmtId="0" fontId="5" fillId="0" borderId="47" xfId="0" applyFont="1" applyBorder="1"/>
    <xf numFmtId="2" fontId="0" fillId="0" borderId="46" xfId="0" applyNumberFormat="1" applyBorder="1"/>
    <xf numFmtId="3" fontId="0" fillId="0" borderId="43" xfId="0" applyNumberFormat="1" applyBorder="1"/>
    <xf numFmtId="3" fontId="0" fillId="0" borderId="45" xfId="0" applyNumberFormat="1" applyBorder="1"/>
    <xf numFmtId="3" fontId="0" fillId="0" borderId="46" xfId="0" applyNumberFormat="1" applyBorder="1"/>
    <xf numFmtId="0" fontId="6" fillId="0" borderId="0" xfId="0" applyFont="1" applyBorder="1"/>
    <xf numFmtId="0" fontId="6" fillId="0" borderId="43" xfId="0" applyFont="1" applyBorder="1"/>
    <xf numFmtId="0" fontId="6" fillId="0" borderId="46" xfId="0" applyFont="1" applyBorder="1" applyAlignment="1">
      <alignment horizontal="center"/>
    </xf>
    <xf numFmtId="3" fontId="2" fillId="0" borderId="46" xfId="0" applyNumberFormat="1" applyFont="1" applyBorder="1"/>
    <xf numFmtId="164" fontId="0" fillId="0" borderId="2" xfId="0" applyNumberFormat="1" applyBorder="1"/>
    <xf numFmtId="164" fontId="0" fillId="0" borderId="6" xfId="0" applyNumberFormat="1" applyBorder="1"/>
    <xf numFmtId="164" fontId="0" fillId="0" borderId="7" xfId="0" applyNumberFormat="1" applyBorder="1"/>
    <xf numFmtId="3" fontId="0" fillId="0" borderId="7" xfId="0" applyNumberFormat="1" applyBorder="1"/>
    <xf numFmtId="0" fontId="2" fillId="0" borderId="0" xfId="0" applyFont="1"/>
    <xf numFmtId="164" fontId="2" fillId="0" borderId="0" xfId="0" applyNumberFormat="1" applyFont="1" applyBorder="1" applyAlignment="1">
      <alignment horizontal="center"/>
    </xf>
    <xf numFmtId="1" fontId="0" fillId="0" borderId="46" xfId="0" applyNumberFormat="1" applyBorder="1" applyAlignment="1">
      <alignment horizontal="center"/>
    </xf>
    <xf numFmtId="164" fontId="0" fillId="0" borderId="2" xfId="0" applyNumberForma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166" fontId="0" fillId="0" borderId="47" xfId="1" applyNumberFormat="1" applyFont="1" applyBorder="1"/>
    <xf numFmtId="166" fontId="0" fillId="0" borderId="0" xfId="1" applyNumberFormat="1" applyFont="1" applyBorder="1"/>
    <xf numFmtId="166" fontId="0" fillId="0" borderId="45" xfId="1" applyNumberFormat="1" applyFont="1" applyBorder="1"/>
    <xf numFmtId="3" fontId="2" fillId="0" borderId="45" xfId="0" applyNumberFormat="1" applyFont="1" applyBorder="1"/>
    <xf numFmtId="0" fontId="6" fillId="0" borderId="45" xfId="0" quotePrefix="1" applyFont="1" applyBorder="1" applyAlignment="1">
      <alignment horizontal="center"/>
    </xf>
    <xf numFmtId="0" fontId="6" fillId="0" borderId="46" xfId="0" applyFont="1" applyBorder="1" applyAlignment="1">
      <alignment horizontal="right"/>
    </xf>
    <xf numFmtId="0" fontId="6" fillId="0" borderId="45" xfId="0" quotePrefix="1" applyFont="1" applyBorder="1" applyAlignment="1">
      <alignment horizontal="right"/>
    </xf>
    <xf numFmtId="0" fontId="6" fillId="0" borderId="41" xfId="0" applyFont="1" applyBorder="1" applyAlignment="1">
      <alignment horizontal="center"/>
    </xf>
    <xf numFmtId="0" fontId="6" fillId="0" borderId="44" xfId="0" applyFont="1" applyBorder="1" applyAlignment="1">
      <alignment horizontal="center"/>
    </xf>
    <xf numFmtId="0" fontId="2" fillId="0" borderId="7" xfId="0" applyFont="1" applyBorder="1"/>
    <xf numFmtId="165" fontId="2" fillId="0" borderId="7" xfId="0" applyNumberFormat="1" applyFont="1" applyBorder="1"/>
    <xf numFmtId="3" fontId="2" fillId="0" borderId="0" xfId="0" applyNumberFormat="1" applyFont="1"/>
    <xf numFmtId="4" fontId="2" fillId="0" borderId="43" xfId="0" applyNumberFormat="1" applyFont="1" applyBorder="1"/>
    <xf numFmtId="0" fontId="2" fillId="0" borderId="43" xfId="0" applyFont="1" applyBorder="1" applyAlignment="1">
      <alignment horizontal="center"/>
    </xf>
    <xf numFmtId="3" fontId="2" fillId="0" borderId="0" xfId="0" applyNumberFormat="1" applyFont="1" applyBorder="1"/>
    <xf numFmtId="43" fontId="0" fillId="0" borderId="0" xfId="1" applyFont="1" applyBorder="1"/>
    <xf numFmtId="0" fontId="2" fillId="0" borderId="0" xfId="0" applyFont="1" applyBorder="1" applyAlignment="1">
      <alignment horizontal="center"/>
    </xf>
    <xf numFmtId="0" fontId="2" fillId="0" borderId="0" xfId="0" applyFont="1" applyBorder="1" applyAlignment="1">
      <alignment horizontal="centerContinuous"/>
    </xf>
    <xf numFmtId="164" fontId="2" fillId="0" borderId="0" xfId="0" applyNumberFormat="1" applyFont="1" applyBorder="1"/>
    <xf numFmtId="164" fontId="0" fillId="0" borderId="0" xfId="0" applyNumberFormat="1" applyBorder="1"/>
    <xf numFmtId="0" fontId="0" fillId="0" borderId="0" xfId="0" applyBorder="1" applyAlignment="1">
      <alignment horizontal="right"/>
    </xf>
    <xf numFmtId="0" fontId="7" fillId="0" borderId="0" xfId="0" applyFont="1"/>
    <xf numFmtId="2" fontId="0" fillId="0" borderId="48" xfId="0" applyNumberFormat="1" applyBorder="1" applyAlignment="1">
      <alignment horizontal="right"/>
    </xf>
    <xf numFmtId="0" fontId="2" fillId="0" borderId="44" xfId="0" applyFont="1" applyBorder="1" applyAlignment="1">
      <alignment horizontal="centerContinuous"/>
    </xf>
    <xf numFmtId="0" fontId="0" fillId="0" borderId="37" xfId="0" applyBorder="1" applyAlignment="1">
      <alignment horizontal="centerContinuous"/>
    </xf>
    <xf numFmtId="164" fontId="9" fillId="0" borderId="0" xfId="0" applyNumberFormat="1" applyFont="1" applyBorder="1"/>
    <xf numFmtId="0" fontId="2" fillId="0" borderId="51" xfId="0" applyFont="1" applyBorder="1" applyAlignment="1">
      <alignment horizontal="centerContinuous"/>
    </xf>
    <xf numFmtId="0" fontId="0" fillId="0" borderId="52" xfId="0" applyBorder="1" applyAlignment="1">
      <alignment horizontal="centerContinuous"/>
    </xf>
    <xf numFmtId="164" fontId="0" fillId="0" borderId="0" xfId="0" applyNumberFormat="1" applyBorder="1" applyAlignment="1">
      <alignment horizontal="right"/>
    </xf>
    <xf numFmtId="0" fontId="2" fillId="0" borderId="8" xfId="0" applyFont="1" applyBorder="1" applyAlignment="1">
      <alignment horizontal="centerContinuous"/>
    </xf>
    <xf numFmtId="164" fontId="0" fillId="0" borderId="4" xfId="0" applyNumberFormat="1" applyBorder="1" applyAlignment="1">
      <alignment horizontal="center"/>
    </xf>
    <xf numFmtId="0" fontId="0" fillId="0" borderId="22" xfId="0" applyBorder="1" applyAlignment="1">
      <alignment horizontal="left"/>
    </xf>
    <xf numFmtId="0" fontId="0" fillId="0" borderId="55" xfId="0" applyBorder="1" applyAlignment="1">
      <alignment horizontal="center"/>
    </xf>
    <xf numFmtId="0" fontId="0" fillId="0" borderId="56" xfId="0" applyBorder="1" applyAlignment="1">
      <alignment horizontal="center"/>
    </xf>
    <xf numFmtId="167" fontId="0" fillId="0" borderId="0" xfId="0" applyNumberFormat="1" applyBorder="1"/>
    <xf numFmtId="164" fontId="9" fillId="0" borderId="57" xfId="0" applyNumberFormat="1" applyFont="1" applyBorder="1"/>
    <xf numFmtId="164" fontId="9" fillId="0" borderId="58" xfId="0" applyNumberFormat="1" applyFont="1" applyBorder="1"/>
    <xf numFmtId="2" fontId="0" fillId="0" borderId="0" xfId="0" applyNumberFormat="1"/>
    <xf numFmtId="0" fontId="2" fillId="0" borderId="0" xfId="0" applyFont="1" applyFill="1" applyBorder="1"/>
    <xf numFmtId="0" fontId="0" fillId="0" borderId="0" xfId="0" applyFill="1" applyBorder="1"/>
    <xf numFmtId="164" fontId="8" fillId="0" borderId="0" xfId="0" applyNumberFormat="1" applyFont="1" applyFill="1" applyBorder="1" applyAlignment="1">
      <alignment horizontal="left"/>
    </xf>
    <xf numFmtId="0" fontId="0" fillId="0" borderId="0" xfId="0" applyFill="1" applyBorder="1" applyAlignment="1">
      <alignment horizontal="left"/>
    </xf>
    <xf numFmtId="0" fontId="0" fillId="0" borderId="27" xfId="0" applyFill="1" applyBorder="1" applyAlignment="1">
      <alignment horizontal="left"/>
    </xf>
    <xf numFmtId="0" fontId="0" fillId="0" borderId="27" xfId="0" applyBorder="1" applyAlignment="1">
      <alignment horizontal="right"/>
    </xf>
    <xf numFmtId="165" fontId="0" fillId="0" borderId="0" xfId="0" applyNumberFormat="1" applyBorder="1"/>
    <xf numFmtId="0" fontId="2" fillId="0" borderId="48" xfId="0" applyFont="1" applyBorder="1" applyAlignment="1">
      <alignment horizontal="centerContinuous"/>
    </xf>
    <xf numFmtId="2" fontId="0" fillId="0" borderId="5" xfId="0" applyNumberFormat="1" applyFill="1" applyBorder="1"/>
    <xf numFmtId="0" fontId="0" fillId="0" borderId="18" xfId="0" applyBorder="1" applyAlignment="1">
      <alignment horizontal="center"/>
    </xf>
    <xf numFmtId="164" fontId="0" fillId="0" borderId="46" xfId="0" applyNumberFormat="1" applyBorder="1" applyAlignment="1">
      <alignment horizontal="center"/>
    </xf>
    <xf numFmtId="164" fontId="0" fillId="0" borderId="59" xfId="0" applyNumberFormat="1" applyBorder="1" applyAlignment="1">
      <alignment horizontal="center"/>
    </xf>
    <xf numFmtId="0" fontId="0" fillId="0" borderId="60" xfId="0" applyBorder="1" applyAlignment="1">
      <alignment horizontal="left"/>
    </xf>
    <xf numFmtId="0" fontId="0" fillId="0" borderId="8" xfId="0" applyBorder="1" applyAlignment="1">
      <alignment horizontal="left"/>
    </xf>
    <xf numFmtId="0" fontId="0" fillId="3" borderId="16" xfId="0" applyFill="1" applyBorder="1"/>
    <xf numFmtId="0" fontId="0" fillId="3" borderId="25" xfId="0" applyFill="1" applyBorder="1" applyAlignment="1">
      <alignment horizontal="center"/>
    </xf>
    <xf numFmtId="0" fontId="0" fillId="3" borderId="30" xfId="0" applyFill="1" applyBorder="1"/>
    <xf numFmtId="0" fontId="0" fillId="3" borderId="11" xfId="0" applyFill="1" applyBorder="1"/>
    <xf numFmtId="0" fontId="0" fillId="3" borderId="13" xfId="0" applyFill="1" applyBorder="1"/>
    <xf numFmtId="0" fontId="0" fillId="3" borderId="15" xfId="0" applyFill="1" applyBorder="1"/>
    <xf numFmtId="0" fontId="0" fillId="3" borderId="17" xfId="0" applyFill="1" applyBorder="1" applyAlignment="1">
      <alignment horizontal="center"/>
    </xf>
    <xf numFmtId="0" fontId="0" fillId="3" borderId="58" xfId="0" applyFill="1" applyBorder="1"/>
    <xf numFmtId="0" fontId="0" fillId="3" borderId="18" xfId="0" applyFill="1" applyBorder="1"/>
    <xf numFmtId="0" fontId="0" fillId="3" borderId="19" xfId="0" applyFill="1" applyBorder="1"/>
    <xf numFmtId="0" fontId="0" fillId="3" borderId="20" xfId="0" applyFill="1" applyBorder="1"/>
    <xf numFmtId="0" fontId="0" fillId="3" borderId="22" xfId="0" applyFill="1" applyBorder="1" applyAlignment="1">
      <alignment horizontal="center"/>
    </xf>
    <xf numFmtId="0" fontId="0" fillId="3" borderId="61" xfId="0" applyFill="1" applyBorder="1"/>
    <xf numFmtId="0" fontId="0" fillId="3" borderId="0" xfId="0" applyFill="1" applyBorder="1" applyAlignment="1">
      <alignment horizontal="center"/>
    </xf>
    <xf numFmtId="0" fontId="0" fillId="3" borderId="62" xfId="0" applyFill="1" applyBorder="1"/>
    <xf numFmtId="0" fontId="0" fillId="3" borderId="63" xfId="0" applyFill="1" applyBorder="1" applyAlignment="1">
      <alignment horizontal="center"/>
    </xf>
    <xf numFmtId="0" fontId="0" fillId="3" borderId="64" xfId="0" applyFill="1" applyBorder="1"/>
    <xf numFmtId="0" fontId="0" fillId="3" borderId="1" xfId="0" applyFill="1" applyBorder="1"/>
    <xf numFmtId="0" fontId="0" fillId="3" borderId="38" xfId="0" applyFill="1" applyBorder="1"/>
    <xf numFmtId="0" fontId="0" fillId="4" borderId="22" xfId="0" applyFill="1" applyBorder="1" applyAlignment="1">
      <alignment horizontal="center"/>
    </xf>
    <xf numFmtId="0" fontId="0" fillId="4" borderId="61" xfId="0" applyFill="1" applyBorder="1"/>
    <xf numFmtId="0" fontId="0" fillId="4" borderId="24" xfId="0" applyFill="1" applyBorder="1" applyAlignment="1">
      <alignment horizontal="center"/>
    </xf>
    <xf numFmtId="0" fontId="0" fillId="4" borderId="12" xfId="0" applyFill="1" applyBorder="1"/>
    <xf numFmtId="0" fontId="0" fillId="4" borderId="14" xfId="0" applyFill="1" applyBorder="1"/>
    <xf numFmtId="0" fontId="0" fillId="4" borderId="10" xfId="0" applyFill="1" applyBorder="1"/>
    <xf numFmtId="0" fontId="0" fillId="4" borderId="0" xfId="0" applyFill="1" applyAlignment="1">
      <alignment horizontal="center"/>
    </xf>
    <xf numFmtId="0" fontId="0" fillId="4" borderId="64" xfId="0" applyFill="1" applyBorder="1"/>
    <xf numFmtId="0" fontId="0" fillId="4" borderId="1" xfId="0" applyFill="1" applyBorder="1"/>
    <xf numFmtId="0" fontId="0" fillId="4" borderId="38" xfId="0" applyFill="1" applyBorder="1"/>
    <xf numFmtId="0" fontId="0" fillId="3" borderId="0" xfId="0" applyFill="1"/>
    <xf numFmtId="0" fontId="0" fillId="3" borderId="0" xfId="0" applyFill="1" applyAlignment="1">
      <alignment horizontal="center"/>
    </xf>
    <xf numFmtId="0" fontId="0" fillId="3" borderId="12" xfId="0" applyFill="1" applyBorder="1"/>
    <xf numFmtId="0" fontId="0" fillId="3" borderId="51" xfId="0" applyFill="1" applyBorder="1"/>
    <xf numFmtId="0" fontId="0" fillId="3" borderId="14" xfId="0" applyFill="1" applyBorder="1"/>
    <xf numFmtId="0" fontId="0" fillId="3" borderId="3" xfId="0" applyFill="1" applyBorder="1"/>
    <xf numFmtId="0" fontId="0" fillId="3" borderId="10" xfId="0" applyFill="1" applyBorder="1"/>
    <xf numFmtId="0" fontId="0" fillId="3" borderId="65" xfId="0" applyFill="1" applyBorder="1"/>
    <xf numFmtId="0" fontId="0" fillId="4" borderId="0" xfId="0" applyFill="1"/>
    <xf numFmtId="0" fontId="11" fillId="0" borderId="0" xfId="0" applyFont="1" applyBorder="1"/>
    <xf numFmtId="0" fontId="8" fillId="0" borderId="0" xfId="0" applyFont="1" applyFill="1" applyBorder="1"/>
    <xf numFmtId="168" fontId="8" fillId="0" borderId="0" xfId="0" applyNumberFormat="1" applyFont="1" applyFill="1" applyBorder="1" applyAlignment="1" applyProtection="1">
      <alignment horizontal="left"/>
    </xf>
    <xf numFmtId="0" fontId="11" fillId="0" borderId="55" xfId="0" applyFont="1" applyBorder="1" applyAlignment="1">
      <alignment horizontal="left"/>
    </xf>
    <xf numFmtId="0" fontId="11" fillId="0" borderId="26" xfId="0" applyFont="1" applyBorder="1" applyAlignment="1">
      <alignment horizontal="left"/>
    </xf>
    <xf numFmtId="164" fontId="0" fillId="0" borderId="27" xfId="0" applyNumberFormat="1" applyBorder="1"/>
    <xf numFmtId="2" fontId="2" fillId="0" borderId="0" xfId="0" applyNumberFormat="1" applyFont="1" applyBorder="1"/>
    <xf numFmtId="3" fontId="2" fillId="0" borderId="36" xfId="0" applyNumberFormat="1" applyFont="1" applyBorder="1"/>
    <xf numFmtId="2" fontId="0" fillId="0" borderId="0" xfId="0" applyNumberFormat="1" applyBorder="1" applyAlignment="1">
      <alignment horizontal="right"/>
    </xf>
    <xf numFmtId="2" fontId="2" fillId="0" borderId="0" xfId="0" applyNumberFormat="1" applyFont="1" applyBorder="1" applyAlignment="1">
      <alignment horizontal="right"/>
    </xf>
    <xf numFmtId="2" fontId="12" fillId="0" borderId="0" xfId="0" applyNumberFormat="1" applyFont="1" applyBorder="1"/>
    <xf numFmtId="164" fontId="0" fillId="0" borderId="45" xfId="0" applyNumberFormat="1" applyBorder="1"/>
    <xf numFmtId="0" fontId="0" fillId="0" borderId="23" xfId="0" applyBorder="1" applyAlignment="1">
      <alignment horizontal="left"/>
    </xf>
    <xf numFmtId="2" fontId="0" fillId="0" borderId="66" xfId="0" applyNumberFormat="1" applyBorder="1" applyAlignment="1">
      <alignment horizontal="right"/>
    </xf>
    <xf numFmtId="2" fontId="0" fillId="0" borderId="1" xfId="0" applyNumberFormat="1" applyBorder="1" applyAlignment="1">
      <alignment horizontal="right"/>
    </xf>
    <xf numFmtId="164" fontId="2" fillId="0" borderId="18" xfId="0" applyNumberFormat="1" applyFont="1" applyBorder="1" applyAlignment="1">
      <alignment horizontal="center"/>
    </xf>
    <xf numFmtId="164" fontId="2" fillId="0" borderId="19" xfId="0" applyNumberFormat="1" applyFont="1" applyBorder="1" applyAlignment="1">
      <alignment horizontal="center"/>
    </xf>
    <xf numFmtId="0" fontId="2" fillId="0" borderId="50" xfId="0" applyFont="1" applyBorder="1" applyAlignment="1">
      <alignment horizontal="center" wrapText="1"/>
    </xf>
    <xf numFmtId="0" fontId="2" fillId="0" borderId="50" xfId="0" applyFont="1" applyBorder="1" applyAlignment="1">
      <alignment horizontal="center"/>
    </xf>
    <xf numFmtId="0" fontId="2" fillId="0" borderId="68" xfId="0" applyFont="1" applyBorder="1" applyAlignment="1">
      <alignment horizontal="center" wrapText="1"/>
    </xf>
    <xf numFmtId="0" fontId="2" fillId="0" borderId="69" xfId="0" applyFont="1" applyBorder="1" applyAlignment="1">
      <alignment horizontal="center" wrapText="1"/>
    </xf>
    <xf numFmtId="0" fontId="2" fillId="0" borderId="5" xfId="0" applyFont="1" applyBorder="1" applyAlignment="1">
      <alignment horizontal="right"/>
    </xf>
    <xf numFmtId="0" fontId="2" fillId="0" borderId="45" xfId="0" applyFont="1" applyBorder="1" applyAlignment="1">
      <alignment horizontal="right"/>
    </xf>
    <xf numFmtId="3" fontId="2" fillId="0" borderId="70" xfId="0" applyNumberFormat="1" applyFont="1" applyBorder="1" applyAlignment="1"/>
    <xf numFmtId="4" fontId="2" fillId="0" borderId="1" xfId="1" applyNumberFormat="1" applyFont="1" applyBorder="1" applyAlignment="1"/>
    <xf numFmtId="3" fontId="2" fillId="0" borderId="37" xfId="0" applyNumberFormat="1" applyFont="1" applyBorder="1"/>
    <xf numFmtId="2" fontId="2" fillId="0" borderId="0" xfId="0" applyNumberFormat="1" applyFont="1" applyBorder="1" applyAlignment="1"/>
    <xf numFmtId="0" fontId="14" fillId="0" borderId="0" xfId="0" applyFont="1" applyAlignment="1">
      <alignment horizontal="centerContinuous"/>
    </xf>
    <xf numFmtId="0" fontId="15" fillId="0" borderId="0" xfId="0" applyFont="1" applyAlignment="1">
      <alignment horizontal="centerContinuous"/>
    </xf>
    <xf numFmtId="0" fontId="16" fillId="0" borderId="0" xfId="0" applyFont="1" applyAlignment="1">
      <alignment horizontal="centerContinuous"/>
    </xf>
    <xf numFmtId="0" fontId="0" fillId="0" borderId="71" xfId="0" applyBorder="1"/>
    <xf numFmtId="39" fontId="8" fillId="0" borderId="0" xfId="0" applyNumberFormat="1" applyFont="1" applyBorder="1"/>
    <xf numFmtId="166" fontId="1" fillId="0" borderId="47" xfId="1" applyNumberFormat="1" applyBorder="1"/>
    <xf numFmtId="166" fontId="1" fillId="0" borderId="0" xfId="1" applyNumberFormat="1" applyBorder="1"/>
    <xf numFmtId="166" fontId="1" fillId="0" borderId="45" xfId="1" applyNumberFormat="1" applyBorder="1"/>
    <xf numFmtId="0" fontId="17" fillId="0" borderId="27" xfId="0" applyFont="1" applyFill="1" applyBorder="1" applyAlignment="1">
      <alignment horizontal="center" vertical="top"/>
    </xf>
    <xf numFmtId="43" fontId="1" fillId="0" borderId="0" xfId="1" applyBorder="1"/>
    <xf numFmtId="0" fontId="12" fillId="0" borderId="0" xfId="0" applyFont="1" applyFill="1" applyBorder="1" applyAlignment="1">
      <alignment horizontal="left"/>
    </xf>
    <xf numFmtId="0" fontId="12" fillId="0" borderId="27" xfId="0" applyFont="1" applyFill="1" applyBorder="1" applyAlignment="1">
      <alignment horizontal="left" vertical="top"/>
    </xf>
    <xf numFmtId="0" fontId="17" fillId="0" borderId="39" xfId="0" applyFont="1" applyBorder="1" applyAlignment="1">
      <alignment horizontal="center"/>
    </xf>
    <xf numFmtId="0" fontId="17" fillId="0" borderId="39" xfId="0" applyFont="1" applyBorder="1" applyAlignment="1">
      <alignment horizontal="left"/>
    </xf>
    <xf numFmtId="0" fontId="2" fillId="0" borderId="0" xfId="0" applyFont="1" applyBorder="1" applyAlignment="1">
      <alignment horizontal="left"/>
    </xf>
    <xf numFmtId="0" fontId="0" fillId="0" borderId="0" xfId="0" applyAlignment="1">
      <alignment wrapText="1"/>
    </xf>
    <xf numFmtId="0" fontId="0" fillId="0" borderId="0" xfId="0" applyAlignment="1"/>
    <xf numFmtId="0" fontId="0" fillId="0" borderId="0" xfId="0" applyAlignment="1">
      <alignment horizontal="left" vertical="center" wrapText="1"/>
    </xf>
    <xf numFmtId="0" fontId="18" fillId="0" borderId="0" xfId="2" applyFill="1" applyBorder="1" applyAlignment="1" applyProtection="1">
      <alignment horizontal="left"/>
    </xf>
    <xf numFmtId="0" fontId="18" fillId="0" borderId="0" xfId="2" applyAlignment="1" applyProtection="1"/>
    <xf numFmtId="0" fontId="18" fillId="0" borderId="0" xfId="2" applyFont="1" applyAlignment="1" applyProtection="1"/>
    <xf numFmtId="0" fontId="18" fillId="0" borderId="72" xfId="2" applyBorder="1" applyAlignment="1" applyProtection="1">
      <protection locked="0"/>
    </xf>
    <xf numFmtId="0" fontId="18" fillId="0" borderId="0" xfId="2" applyBorder="1" applyAlignment="1" applyProtection="1"/>
    <xf numFmtId="0" fontId="0" fillId="5" borderId="0" xfId="0" applyFill="1"/>
    <xf numFmtId="0" fontId="0" fillId="5" borderId="0" xfId="0" applyFill="1" applyAlignment="1"/>
    <xf numFmtId="0" fontId="0" fillId="5" borderId="0" xfId="0" applyFill="1" applyAlignment="1">
      <alignment wrapText="1"/>
    </xf>
    <xf numFmtId="0" fontId="11" fillId="5" borderId="0" xfId="0" applyFont="1" applyFill="1" applyBorder="1" applyAlignment="1">
      <alignment horizontal="center" vertical="center"/>
    </xf>
    <xf numFmtId="0" fontId="18" fillId="5" borderId="0" xfId="2" applyFill="1" applyBorder="1" applyAlignment="1" applyProtection="1">
      <alignment horizontal="left" vertical="center" wrapText="1"/>
    </xf>
    <xf numFmtId="0" fontId="11" fillId="5" borderId="5" xfId="0" applyFont="1" applyFill="1" applyBorder="1" applyAlignment="1">
      <alignment horizontal="center" vertical="center"/>
    </xf>
    <xf numFmtId="0" fontId="0" fillId="5" borderId="5" xfId="0" applyFill="1" applyBorder="1" applyAlignment="1">
      <alignment horizontal="left" vertical="center" wrapText="1"/>
    </xf>
    <xf numFmtId="0" fontId="7" fillId="5" borderId="0" xfId="0" applyFont="1" applyFill="1" applyAlignment="1">
      <alignment wrapText="1"/>
    </xf>
    <xf numFmtId="0" fontId="0" fillId="5" borderId="41" xfId="0" applyFill="1" applyBorder="1"/>
    <xf numFmtId="164" fontId="18" fillId="0" borderId="0" xfId="2" applyNumberFormat="1" applyBorder="1" applyAlignment="1" applyProtection="1">
      <alignment horizontal="left"/>
    </xf>
    <xf numFmtId="3" fontId="12" fillId="0" borderId="1" xfId="0" applyNumberFormat="1" applyFont="1" applyBorder="1" applyAlignment="1">
      <alignment horizontal="center"/>
    </xf>
    <xf numFmtId="0" fontId="0" fillId="4" borderId="0" xfId="0" applyFill="1" applyBorder="1" applyAlignment="1">
      <alignment horizontal="center"/>
    </xf>
    <xf numFmtId="0" fontId="0" fillId="4" borderId="63" xfId="0" applyFill="1" applyBorder="1" applyAlignment="1">
      <alignment horizontal="center"/>
    </xf>
    <xf numFmtId="0" fontId="0" fillId="4" borderId="62" xfId="0" applyFill="1" applyBorder="1"/>
    <xf numFmtId="0" fontId="0" fillId="0" borderId="58" xfId="0" applyBorder="1" applyAlignment="1">
      <alignment horizontal="right"/>
    </xf>
    <xf numFmtId="0" fontId="0" fillId="0" borderId="39" xfId="0" applyBorder="1" applyAlignment="1">
      <alignment horizontal="left"/>
    </xf>
    <xf numFmtId="0" fontId="2" fillId="0" borderId="65" xfId="0" applyFont="1" applyBorder="1" applyAlignment="1">
      <alignment horizontal="centerContinuous"/>
    </xf>
    <xf numFmtId="0" fontId="0" fillId="0" borderId="61" xfId="0" applyBorder="1" applyAlignment="1">
      <alignment horizontal="left"/>
    </xf>
    <xf numFmtId="2" fontId="2" fillId="6" borderId="0" xfId="0" applyNumberFormat="1" applyFont="1" applyFill="1" applyBorder="1" applyAlignment="1" applyProtection="1">
      <alignment horizontal="right"/>
    </xf>
    <xf numFmtId="0" fontId="0" fillId="5" borderId="0" xfId="0" applyFill="1" applyBorder="1" applyAlignment="1">
      <alignment horizontal="center" vertical="center" wrapText="1"/>
    </xf>
    <xf numFmtId="0" fontId="0" fillId="5" borderId="0" xfId="0" applyFill="1" applyBorder="1" applyAlignment="1"/>
    <xf numFmtId="0" fontId="0" fillId="0" borderId="0" xfId="0" applyBorder="1" applyAlignment="1"/>
    <xf numFmtId="0" fontId="19" fillId="5" borderId="0" xfId="0" applyFont="1" applyFill="1" applyBorder="1" applyAlignment="1">
      <alignment horizontal="left" vertical="top" wrapText="1"/>
    </xf>
    <xf numFmtId="0" fontId="0" fillId="5" borderId="0" xfId="0" applyFill="1" applyBorder="1" applyAlignment="1">
      <alignment vertical="top" wrapText="1"/>
    </xf>
    <xf numFmtId="0" fontId="0" fillId="0" borderId="0" xfId="0" applyAlignment="1">
      <alignment vertical="top" wrapText="1"/>
    </xf>
    <xf numFmtId="0" fontId="0" fillId="0" borderId="0" xfId="0" applyAlignment="1">
      <alignment vertical="top"/>
    </xf>
    <xf numFmtId="0" fontId="0" fillId="5" borderId="0" xfId="0" applyFill="1" applyBorder="1"/>
    <xf numFmtId="0" fontId="0" fillId="5" borderId="0" xfId="0" applyFill="1" applyBorder="1" applyAlignment="1">
      <alignment wrapText="1"/>
    </xf>
    <xf numFmtId="0" fontId="20" fillId="5" borderId="45" xfId="0" applyFont="1" applyFill="1" applyBorder="1" applyAlignment="1"/>
    <xf numFmtId="0" fontId="20" fillId="5" borderId="45" xfId="0" applyFont="1" applyFill="1" applyBorder="1" applyAlignment="1">
      <alignment wrapText="1"/>
    </xf>
    <xf numFmtId="0" fontId="20" fillId="5" borderId="0" xfId="0" applyFont="1" applyFill="1" applyBorder="1" applyAlignment="1"/>
    <xf numFmtId="0" fontId="0" fillId="5" borderId="43" xfId="0" applyFill="1" applyBorder="1" applyAlignment="1"/>
    <xf numFmtId="0" fontId="11" fillId="5" borderId="41" xfId="0" applyFont="1" applyFill="1" applyBorder="1" applyAlignment="1">
      <alignment horizontal="center" vertical="center"/>
    </xf>
    <xf numFmtId="0" fontId="20" fillId="5" borderId="41" xfId="0" applyFont="1" applyFill="1" applyBorder="1" applyAlignment="1"/>
    <xf numFmtId="0" fontId="20" fillId="5" borderId="0" xfId="0" applyFont="1" applyFill="1" applyBorder="1" applyAlignment="1">
      <alignment wrapText="1"/>
    </xf>
    <xf numFmtId="0" fontId="11" fillId="5" borderId="45" xfId="0" applyFont="1" applyFill="1" applyBorder="1" applyAlignment="1">
      <alignment horizontal="center" vertical="center"/>
    </xf>
    <xf numFmtId="0" fontId="18" fillId="5" borderId="46" xfId="2" applyFill="1" applyBorder="1" applyAlignment="1" applyProtection="1">
      <alignment horizontal="left" vertical="center" wrapText="1"/>
    </xf>
    <xf numFmtId="0" fontId="11" fillId="5" borderId="44" xfId="0" applyFont="1" applyFill="1" applyBorder="1" applyAlignment="1">
      <alignment horizontal="center" vertical="center"/>
    </xf>
    <xf numFmtId="0" fontId="0" fillId="5" borderId="45" xfId="0" applyFill="1" applyBorder="1" applyAlignment="1">
      <alignment vertical="center" wrapText="1"/>
    </xf>
    <xf numFmtId="0" fontId="0" fillId="0" borderId="45" xfId="0" applyBorder="1" applyAlignment="1">
      <alignment vertical="center" wrapText="1"/>
    </xf>
    <xf numFmtId="0" fontId="0" fillId="0" borderId="45" xfId="0" applyBorder="1" applyAlignment="1">
      <alignment vertical="center"/>
    </xf>
    <xf numFmtId="0" fontId="18" fillId="5" borderId="4" xfId="2" applyFill="1" applyBorder="1" applyAlignment="1" applyProtection="1">
      <alignment horizontal="left" vertical="center" wrapText="1"/>
    </xf>
    <xf numFmtId="0" fontId="0" fillId="0" borderId="45" xfId="0" applyBorder="1" applyAlignment="1">
      <alignment horizontal="left" vertical="center" wrapText="1"/>
    </xf>
    <xf numFmtId="0" fontId="11" fillId="5" borderId="74" xfId="0" applyFont="1" applyFill="1" applyBorder="1" applyAlignment="1">
      <alignment horizontal="center" vertical="center" wrapText="1"/>
    </xf>
    <xf numFmtId="0" fontId="0" fillId="5" borderId="71" xfId="0" applyFill="1" applyBorder="1" applyAlignment="1">
      <alignment horizontal="left" vertical="center" wrapText="1"/>
    </xf>
    <xf numFmtId="0" fontId="0" fillId="5" borderId="41" xfId="0" applyFill="1" applyBorder="1" applyAlignment="1"/>
    <xf numFmtId="0" fontId="0" fillId="5" borderId="41" xfId="0" applyFill="1" applyBorder="1" applyAlignment="1">
      <alignment horizontal="left" vertical="top" wrapText="1"/>
    </xf>
    <xf numFmtId="0" fontId="21" fillId="5" borderId="0" xfId="2" applyFont="1" applyFill="1" applyBorder="1" applyAlignment="1" applyProtection="1"/>
    <xf numFmtId="0" fontId="9" fillId="5" borderId="0" xfId="0" applyFont="1" applyFill="1" applyBorder="1" applyAlignment="1">
      <alignment vertical="top" wrapText="1"/>
    </xf>
    <xf numFmtId="0" fontId="18" fillId="5" borderId="0" xfId="2" applyFont="1" applyFill="1" applyAlignment="1" applyProtection="1">
      <alignment vertical="top" wrapText="1"/>
    </xf>
    <xf numFmtId="0" fontId="18" fillId="5" borderId="0" xfId="2" applyFill="1" applyAlignment="1" applyProtection="1">
      <alignment vertical="top" wrapText="1"/>
    </xf>
    <xf numFmtId="0" fontId="8" fillId="5" borderId="0" xfId="0" applyFont="1" applyFill="1" applyAlignment="1">
      <alignment wrapText="1"/>
    </xf>
    <xf numFmtId="0" fontId="0" fillId="5" borderId="0" xfId="0" applyFill="1" applyAlignment="1">
      <alignment vertical="top"/>
    </xf>
    <xf numFmtId="0" fontId="23" fillId="5" borderId="0" xfId="2" applyFont="1" applyFill="1" applyBorder="1" applyAlignment="1" applyProtection="1">
      <alignment horizontal="left" vertical="center"/>
    </xf>
    <xf numFmtId="0" fontId="23" fillId="5" borderId="0" xfId="2" applyFont="1" applyFill="1" applyBorder="1" applyAlignment="1" applyProtection="1"/>
    <xf numFmtId="0" fontId="24" fillId="5" borderId="0" xfId="0" applyFont="1" applyFill="1" applyBorder="1" applyAlignment="1">
      <alignment horizontal="left" vertical="center"/>
    </xf>
    <xf numFmtId="0" fontId="19" fillId="5" borderId="0" xfId="0" applyFont="1" applyFill="1" applyBorder="1" applyAlignment="1">
      <alignment horizontal="left" vertical="center" wrapText="1"/>
    </xf>
    <xf numFmtId="0" fontId="0" fillId="0" borderId="0" xfId="0" applyFill="1"/>
    <xf numFmtId="0" fontId="8" fillId="5" borderId="0" xfId="0" applyFont="1" applyFill="1" applyBorder="1" applyAlignment="1">
      <alignment vertical="top" wrapText="1"/>
    </xf>
    <xf numFmtId="0" fontId="0" fillId="5" borderId="0" xfId="0" applyFill="1" applyBorder="1" applyAlignment="1">
      <alignment horizontal="left" vertical="center"/>
    </xf>
    <xf numFmtId="3" fontId="18" fillId="0" borderId="0" xfId="2" applyNumberFormat="1" applyFill="1" applyBorder="1" applyAlignment="1" applyProtection="1"/>
    <xf numFmtId="0" fontId="0" fillId="5" borderId="0" xfId="0" applyFill="1" applyAlignment="1">
      <alignment vertical="top" wrapText="1"/>
    </xf>
    <xf numFmtId="2" fontId="2" fillId="6" borderId="0" xfId="0" applyNumberFormat="1" applyFont="1" applyFill="1" applyBorder="1" applyAlignment="1" applyProtection="1">
      <alignment horizontal="left"/>
    </xf>
    <xf numFmtId="2" fontId="2" fillId="0" borderId="0" xfId="0" applyNumberFormat="1" applyFont="1" applyBorder="1" applyAlignment="1">
      <alignment horizontal="centerContinuous"/>
    </xf>
    <xf numFmtId="0" fontId="18" fillId="5" borderId="71" xfId="2" applyFill="1" applyBorder="1" applyAlignment="1" applyProtection="1">
      <alignment horizontal="left" vertical="center" wrapText="1"/>
    </xf>
    <xf numFmtId="0" fontId="0" fillId="0" borderId="0" xfId="0" applyBorder="1" applyAlignment="1" applyProtection="1">
      <alignment horizontal="left" vertical="top"/>
    </xf>
    <xf numFmtId="0" fontId="0" fillId="0" borderId="0" xfId="0" applyProtection="1"/>
    <xf numFmtId="0" fontId="11" fillId="0" borderId="0" xfId="0" applyFont="1" applyBorder="1" applyProtection="1"/>
    <xf numFmtId="0" fontId="2" fillId="0" borderId="0" xfId="0" applyFont="1" applyBorder="1" applyProtection="1"/>
    <xf numFmtId="2" fontId="12" fillId="0" borderId="0" xfId="0" applyNumberFormat="1" applyFont="1" applyBorder="1" applyProtection="1"/>
    <xf numFmtId="164" fontId="2" fillId="0" borderId="0" xfId="0" applyNumberFormat="1" applyFont="1" applyBorder="1" applyProtection="1"/>
    <xf numFmtId="0" fontId="12" fillId="0" borderId="0" xfId="0" applyFont="1" applyBorder="1" applyAlignment="1">
      <alignment horizontal="right"/>
    </xf>
    <xf numFmtId="0" fontId="18" fillId="0" borderId="0" xfId="2" applyFont="1" applyBorder="1" applyAlignment="1" applyProtection="1"/>
    <xf numFmtId="0" fontId="18" fillId="5" borderId="46" xfId="2" applyFont="1" applyFill="1" applyBorder="1" applyAlignment="1" applyProtection="1">
      <alignment horizontal="left" vertical="center" wrapText="1"/>
    </xf>
    <xf numFmtId="0" fontId="7" fillId="5" borderId="0" xfId="0" applyFont="1" applyFill="1" applyBorder="1" applyAlignment="1">
      <alignment wrapText="1"/>
    </xf>
    <xf numFmtId="0" fontId="0" fillId="5" borderId="45" xfId="0" applyFill="1" applyBorder="1"/>
    <xf numFmtId="0" fontId="7" fillId="5" borderId="46" xfId="0" applyFont="1" applyFill="1" applyBorder="1" applyAlignment="1">
      <alignment wrapText="1"/>
    </xf>
    <xf numFmtId="164" fontId="12" fillId="0" borderId="14" xfId="0" applyNumberFormat="1" applyFont="1" applyFill="1" applyBorder="1" applyAlignment="1">
      <alignment horizontal="center"/>
    </xf>
    <xf numFmtId="164" fontId="2" fillId="0" borderId="58" xfId="0" applyNumberFormat="1" applyFont="1" applyBorder="1" applyAlignment="1">
      <alignment horizontal="center"/>
    </xf>
    <xf numFmtId="3" fontId="2" fillId="6" borderId="28" xfId="0" applyNumberFormat="1" applyFont="1" applyFill="1" applyBorder="1" applyProtection="1"/>
    <xf numFmtId="3" fontId="2" fillId="0" borderId="29" xfId="0" applyNumberFormat="1" applyFont="1" applyBorder="1" applyProtection="1"/>
    <xf numFmtId="2" fontId="2" fillId="0" borderId="59" xfId="0" applyNumberFormat="1" applyFont="1" applyBorder="1" applyAlignment="1">
      <alignment horizontal="right"/>
    </xf>
    <xf numFmtId="0" fontId="0" fillId="0" borderId="41" xfId="0" applyBorder="1" applyAlignment="1">
      <alignment horizontal="center"/>
    </xf>
    <xf numFmtId="1" fontId="0" fillId="0" borderId="0" xfId="0" applyNumberFormat="1" applyBorder="1" applyAlignment="1">
      <alignment horizontal="center"/>
    </xf>
    <xf numFmtId="164" fontId="0" fillId="0" borderId="0" xfId="0" applyNumberFormat="1" applyBorder="1" applyAlignment="1">
      <alignment horizontal="center"/>
    </xf>
    <xf numFmtId="2" fontId="0" fillId="0" borderId="43" xfId="0" applyNumberFormat="1" applyBorder="1"/>
    <xf numFmtId="0" fontId="2" fillId="0" borderId="60" xfId="0" applyFont="1" applyBorder="1" applyAlignment="1"/>
    <xf numFmtId="0" fontId="0" fillId="3" borderId="17" xfId="0" applyFill="1" applyBorder="1"/>
    <xf numFmtId="0" fontId="0" fillId="3" borderId="63" xfId="0" applyFill="1" applyBorder="1"/>
    <xf numFmtId="0" fontId="0" fillId="0" borderId="76" xfId="0" applyBorder="1"/>
    <xf numFmtId="0" fontId="0" fillId="0" borderId="17" xfId="0" applyBorder="1"/>
    <xf numFmtId="0" fontId="0" fillId="0" borderId="25" xfId="0" applyBorder="1"/>
    <xf numFmtId="0" fontId="0" fillId="3" borderId="25" xfId="0" applyFill="1" applyBorder="1"/>
    <xf numFmtId="0" fontId="0" fillId="3" borderId="50" xfId="0" applyFill="1" applyBorder="1"/>
    <xf numFmtId="0" fontId="0" fillId="3" borderId="68" xfId="0" applyFill="1" applyBorder="1"/>
    <xf numFmtId="0" fontId="0" fillId="0" borderId="24" xfId="0" applyBorder="1"/>
    <xf numFmtId="0" fontId="18" fillId="5" borderId="45" xfId="2" applyFont="1" applyFill="1" applyBorder="1" applyAlignment="1" applyProtection="1">
      <alignment horizontal="left" vertical="center" wrapText="1"/>
    </xf>
    <xf numFmtId="0" fontId="2" fillId="0" borderId="0" xfId="0" applyFont="1" applyAlignment="1">
      <alignment horizontal="right"/>
    </xf>
    <xf numFmtId="164" fontId="2" fillId="0" borderId="38" xfId="0" applyNumberFormat="1" applyFont="1" applyBorder="1"/>
    <xf numFmtId="0" fontId="0" fillId="0" borderId="65" xfId="0" applyBorder="1"/>
    <xf numFmtId="0" fontId="4" fillId="0" borderId="0" xfId="0" applyFont="1" applyBorder="1" applyAlignment="1">
      <alignment horizontal="right"/>
    </xf>
    <xf numFmtId="0" fontId="18" fillId="5" borderId="0" xfId="2" applyFont="1" applyFill="1" applyBorder="1" applyAlignment="1" applyProtection="1">
      <alignment horizontal="left" vertical="center" wrapText="1"/>
    </xf>
    <xf numFmtId="0" fontId="4" fillId="0" borderId="35" xfId="0" applyFont="1" applyBorder="1" applyAlignment="1">
      <alignment horizontal="left"/>
    </xf>
    <xf numFmtId="4" fontId="0" fillId="0" borderId="35" xfId="0" applyNumberFormat="1" applyBorder="1" applyAlignment="1">
      <alignment horizontal="left"/>
    </xf>
    <xf numFmtId="0" fontId="4" fillId="0" borderId="0" xfId="0" applyFont="1" applyBorder="1" applyAlignment="1">
      <alignment horizontal="center"/>
    </xf>
    <xf numFmtId="0" fontId="9" fillId="0" borderId="0" xfId="0" applyFont="1" applyBorder="1" applyAlignment="1">
      <alignment horizontal="right"/>
    </xf>
    <xf numFmtId="0" fontId="0" fillId="0" borderId="0" xfId="0" applyAlignment="1">
      <alignment horizontal="right"/>
    </xf>
    <xf numFmtId="0" fontId="18" fillId="5" borderId="4" xfId="2" applyFont="1" applyFill="1" applyBorder="1" applyAlignment="1" applyProtection="1">
      <alignment horizontal="left" vertical="center" wrapText="1"/>
    </xf>
    <xf numFmtId="0" fontId="0" fillId="3" borderId="50" xfId="0" applyFill="1" applyBorder="1" applyAlignment="1">
      <alignment horizontal="center"/>
    </xf>
    <xf numFmtId="0" fontId="0" fillId="4" borderId="69" xfId="0" applyFill="1" applyBorder="1" applyAlignment="1">
      <alignment horizontal="center"/>
    </xf>
    <xf numFmtId="0" fontId="0" fillId="6" borderId="63" xfId="0" applyFill="1" applyBorder="1" applyAlignment="1">
      <alignment horizontal="center"/>
    </xf>
    <xf numFmtId="0" fontId="0" fillId="6" borderId="75" xfId="0" applyFill="1" applyBorder="1" applyAlignment="1">
      <alignment horizontal="center"/>
    </xf>
    <xf numFmtId="0" fontId="0" fillId="0" borderId="23" xfId="0" applyBorder="1" applyAlignment="1">
      <alignment horizontal="centerContinuous"/>
    </xf>
    <xf numFmtId="0" fontId="0" fillId="0" borderId="31" xfId="0" applyBorder="1"/>
    <xf numFmtId="0" fontId="0" fillId="4" borderId="31" xfId="0" applyFill="1" applyBorder="1"/>
    <xf numFmtId="0" fontId="0" fillId="4" borderId="78" xfId="0" applyFill="1" applyBorder="1"/>
    <xf numFmtId="0" fontId="0" fillId="3" borderId="15" xfId="0" applyFill="1" applyBorder="1" applyAlignment="1">
      <alignment horizontal="center"/>
    </xf>
    <xf numFmtId="0" fontId="0" fillId="0" borderId="32" xfId="0" applyBorder="1"/>
    <xf numFmtId="0" fontId="0" fillId="3" borderId="8" xfId="0" applyFill="1" applyBorder="1"/>
    <xf numFmtId="0" fontId="0" fillId="3" borderId="5" xfId="0" applyFill="1" applyBorder="1"/>
    <xf numFmtId="0" fontId="0" fillId="3" borderId="53" xfId="0" applyFill="1" applyBorder="1"/>
    <xf numFmtId="0" fontId="0" fillId="4" borderId="52" xfId="0" applyFill="1" applyBorder="1"/>
    <xf numFmtId="0" fontId="0" fillId="4" borderId="4" xfId="0" applyFill="1" applyBorder="1"/>
    <xf numFmtId="0" fontId="0" fillId="4" borderId="54" xfId="0" applyFill="1" applyBorder="1"/>
    <xf numFmtId="0" fontId="0" fillId="0" borderId="9" xfId="0" applyBorder="1"/>
    <xf numFmtId="0" fontId="0" fillId="0" borderId="79" xfId="0" applyBorder="1"/>
    <xf numFmtId="0" fontId="0" fillId="0" borderId="77" xfId="0" applyBorder="1"/>
    <xf numFmtId="0" fontId="0" fillId="6" borderId="15" xfId="0" applyFill="1" applyBorder="1" applyAlignment="1">
      <alignment horizontal="center"/>
    </xf>
    <xf numFmtId="0" fontId="2" fillId="6" borderId="0" xfId="0" applyFont="1" applyFill="1" applyBorder="1" applyAlignment="1" applyProtection="1"/>
    <xf numFmtId="0" fontId="0" fillId="6" borderId="0" xfId="0" applyFill="1" applyBorder="1" applyAlignment="1" applyProtection="1"/>
    <xf numFmtId="0" fontId="0" fillId="0" borderId="0" xfId="0" applyFill="1" applyBorder="1" applyAlignment="1">
      <alignment horizontal="right"/>
    </xf>
    <xf numFmtId="4" fontId="12" fillId="0" borderId="35" xfId="0" applyNumberFormat="1" applyFont="1" applyBorder="1" applyAlignment="1">
      <alignment horizontal="left"/>
    </xf>
    <xf numFmtId="0" fontId="27" fillId="0" borderId="0" xfId="0" applyFont="1" applyBorder="1" applyAlignment="1">
      <alignment horizontal="right"/>
    </xf>
    <xf numFmtId="3" fontId="0" fillId="7" borderId="1" xfId="0" applyNumberFormat="1" applyFill="1" applyBorder="1" applyProtection="1">
      <protection locked="0"/>
    </xf>
    <xf numFmtId="0" fontId="9" fillId="7" borderId="19" xfId="0" applyFont="1" applyFill="1" applyBorder="1" applyAlignment="1" applyProtection="1">
      <alignment horizontal="center"/>
      <protection locked="0"/>
    </xf>
    <xf numFmtId="3" fontId="2" fillId="7" borderId="1" xfId="0" applyNumberFormat="1" applyFont="1" applyFill="1" applyBorder="1" applyProtection="1">
      <protection locked="0"/>
    </xf>
    <xf numFmtId="0" fontId="2" fillId="7" borderId="1" xfId="0" applyFont="1" applyFill="1" applyBorder="1" applyProtection="1">
      <protection locked="0"/>
    </xf>
    <xf numFmtId="164" fontId="2" fillId="7" borderId="7" xfId="0" applyNumberFormat="1" applyFont="1" applyFill="1" applyBorder="1" applyAlignment="1" applyProtection="1">
      <alignment horizontal="left"/>
      <protection locked="0"/>
    </xf>
    <xf numFmtId="169" fontId="2" fillId="7" borderId="1" xfId="0" applyNumberFormat="1" applyFont="1" applyFill="1" applyBorder="1" applyAlignment="1" applyProtection="1">
      <alignment horizontal="left"/>
      <protection locked="0"/>
    </xf>
    <xf numFmtId="0" fontId="2" fillId="7" borderId="1" xfId="0" applyFont="1" applyFill="1" applyBorder="1" applyAlignment="1" applyProtection="1">
      <alignment horizontal="left"/>
      <protection locked="0"/>
    </xf>
    <xf numFmtId="0" fontId="2" fillId="7" borderId="80" xfId="0" applyFont="1" applyFill="1" applyBorder="1" applyAlignment="1" applyProtection="1">
      <alignment horizontal="left"/>
      <protection locked="0"/>
    </xf>
    <xf numFmtId="164" fontId="2" fillId="7" borderId="5" xfId="0" applyNumberFormat="1" applyFont="1" applyFill="1" applyBorder="1" applyAlignment="1" applyProtection="1">
      <alignment horizontal="center"/>
      <protection locked="0"/>
    </xf>
    <xf numFmtId="2" fontId="2" fillId="7" borderId="1" xfId="0" applyNumberFormat="1" applyFont="1" applyFill="1" applyBorder="1" applyProtection="1">
      <protection locked="0"/>
    </xf>
    <xf numFmtId="2" fontId="2" fillId="7" borderId="7" xfId="0" applyNumberFormat="1" applyFont="1" applyFill="1" applyBorder="1" applyProtection="1">
      <protection locked="0"/>
    </xf>
    <xf numFmtId="3" fontId="12" fillId="7" borderId="1" xfId="0" applyNumberFormat="1" applyFont="1" applyFill="1" applyBorder="1" applyAlignment="1" applyProtection="1">
      <alignment horizontal="center"/>
      <protection locked="0"/>
    </xf>
    <xf numFmtId="3" fontId="0" fillId="7" borderId="28" xfId="0" applyNumberFormat="1" applyFill="1" applyBorder="1" applyProtection="1">
      <protection locked="0"/>
    </xf>
    <xf numFmtId="0" fontId="17" fillId="0" borderId="0" xfId="0" applyFont="1" applyBorder="1" applyAlignment="1">
      <alignment horizontal="left"/>
    </xf>
    <xf numFmtId="3" fontId="0" fillId="4" borderId="61" xfId="0" applyNumberFormat="1" applyFill="1" applyBorder="1"/>
    <xf numFmtId="3" fontId="0" fillId="4" borderId="81" xfId="0" applyNumberFormat="1" applyFill="1" applyBorder="1"/>
    <xf numFmtId="0" fontId="0" fillId="0" borderId="82" xfId="0" applyBorder="1"/>
    <xf numFmtId="0" fontId="0" fillId="0" borderId="82" xfId="0" applyBorder="1" applyAlignment="1">
      <alignment horizontal="center"/>
    </xf>
    <xf numFmtId="0" fontId="0" fillId="0" borderId="83" xfId="0" applyBorder="1" applyAlignment="1">
      <alignment horizontal="center"/>
    </xf>
    <xf numFmtId="0" fontId="0" fillId="0" borderId="84" xfId="0" applyBorder="1" applyAlignment="1">
      <alignment horizontal="center"/>
    </xf>
    <xf numFmtId="0" fontId="0" fillId="0" borderId="85" xfId="0" applyBorder="1" applyAlignment="1">
      <alignment horizontal="center"/>
    </xf>
    <xf numFmtId="0" fontId="0" fillId="0" borderId="84" xfId="0" applyBorder="1"/>
    <xf numFmtId="0" fontId="0" fillId="0" borderId="83" xfId="0" applyBorder="1"/>
    <xf numFmtId="0" fontId="0" fillId="0" borderId="85" xfId="0" applyBorder="1"/>
    <xf numFmtId="0" fontId="2" fillId="5" borderId="0" xfId="0" applyFont="1" applyFill="1"/>
    <xf numFmtId="0" fontId="35" fillId="8" borderId="1" xfId="0" applyFont="1" applyFill="1" applyBorder="1" applyAlignment="1">
      <alignment horizontal="center"/>
    </xf>
    <xf numFmtId="0" fontId="35" fillId="8" borderId="1" xfId="0" applyNumberFormat="1" applyFont="1" applyFill="1" applyBorder="1" applyAlignment="1">
      <alignment horizontal="center" wrapText="1"/>
    </xf>
    <xf numFmtId="0" fontId="2" fillId="8" borderId="67" xfId="0" applyFont="1" applyFill="1" applyBorder="1" applyAlignment="1">
      <alignment horizontal="centerContinuous" wrapText="1"/>
    </xf>
    <xf numFmtId="0" fontId="2" fillId="0" borderId="65" xfId="0" applyFont="1" applyFill="1" applyBorder="1" applyAlignment="1">
      <alignment horizontal="centerContinuous" wrapText="1"/>
    </xf>
    <xf numFmtId="0" fontId="18" fillId="5" borderId="5" xfId="2" applyFont="1" applyFill="1" applyBorder="1" applyAlignment="1" applyProtection="1">
      <alignment horizontal="left" vertical="center" wrapText="1"/>
    </xf>
    <xf numFmtId="0" fontId="18" fillId="5" borderId="33" xfId="2" applyFont="1" applyFill="1" applyBorder="1" applyAlignment="1" applyProtection="1">
      <alignment horizontal="left" vertical="center" wrapText="1"/>
    </xf>
    <xf numFmtId="0" fontId="0" fillId="6" borderId="0" xfId="0" applyFill="1"/>
    <xf numFmtId="0" fontId="0" fillId="6" borderId="0" xfId="0" applyFill="1" applyBorder="1"/>
    <xf numFmtId="0" fontId="12" fillId="6" borderId="0" xfId="0" applyFont="1" applyFill="1" applyBorder="1" applyAlignment="1">
      <alignment horizontal="right"/>
    </xf>
    <xf numFmtId="0" fontId="9" fillId="6" borderId="0" xfId="0" applyFont="1" applyFill="1" applyBorder="1" applyAlignment="1">
      <alignment horizontal="right"/>
    </xf>
    <xf numFmtId="3" fontId="0" fillId="6" borderId="0" xfId="0" applyNumberFormat="1" applyFill="1" applyBorder="1" applyAlignment="1">
      <alignment horizontal="center"/>
    </xf>
    <xf numFmtId="4" fontId="12" fillId="6" borderId="35" xfId="0" applyNumberFormat="1" applyFont="1" applyFill="1" applyBorder="1" applyAlignment="1">
      <alignment horizontal="left"/>
    </xf>
    <xf numFmtId="0" fontId="2" fillId="6" borderId="0" xfId="0" applyFont="1" applyFill="1" applyBorder="1"/>
    <xf numFmtId="0" fontId="37" fillId="0" borderId="0" xfId="0" applyFont="1" applyAlignment="1">
      <alignment horizontal="left" vertical="center"/>
    </xf>
    <xf numFmtId="0" fontId="0" fillId="0" borderId="0" xfId="0" applyFont="1" applyFill="1" applyBorder="1" applyAlignment="1">
      <alignment horizontal="right"/>
    </xf>
    <xf numFmtId="0" fontId="9" fillId="0" borderId="0" xfId="0" applyFont="1" applyFill="1" applyBorder="1" applyAlignment="1">
      <alignment horizontal="right"/>
    </xf>
    <xf numFmtId="3" fontId="0" fillId="0" borderId="0" xfId="0" applyNumberFormat="1" applyFill="1" applyBorder="1" applyAlignment="1">
      <alignment horizontal="center"/>
    </xf>
    <xf numFmtId="4" fontId="12" fillId="0" borderId="35" xfId="0" applyNumberFormat="1" applyFont="1" applyFill="1" applyBorder="1" applyAlignment="1">
      <alignment horizontal="left"/>
    </xf>
    <xf numFmtId="0" fontId="12" fillId="0" borderId="0" xfId="0" applyFont="1" applyFill="1" applyBorder="1" applyAlignment="1">
      <alignment horizontal="right"/>
    </xf>
    <xf numFmtId="0" fontId="0" fillId="0" borderId="0" xfId="0" applyAlignment="1"/>
    <xf numFmtId="49" fontId="0" fillId="0" borderId="0" xfId="0" applyNumberFormat="1" applyAlignment="1">
      <alignment wrapText="1"/>
    </xf>
    <xf numFmtId="0" fontId="39" fillId="9" borderId="96" xfId="0" applyFont="1" applyFill="1" applyBorder="1" applyAlignment="1">
      <alignment horizontal="center" vertical="center" wrapText="1"/>
    </xf>
    <xf numFmtId="0" fontId="39" fillId="9" borderId="97" xfId="0" applyFont="1" applyFill="1" applyBorder="1" applyAlignment="1">
      <alignment horizontal="center" vertical="center" wrapText="1"/>
    </xf>
    <xf numFmtId="0" fontId="39" fillId="9" borderId="98" xfId="0" applyFont="1" applyFill="1" applyBorder="1" applyAlignment="1">
      <alignment horizontal="center" vertical="center" wrapText="1"/>
    </xf>
    <xf numFmtId="0" fontId="39" fillId="0" borderId="99" xfId="0" applyFont="1" applyBorder="1" applyAlignment="1">
      <alignment horizontal="center" vertical="center" wrapText="1"/>
    </xf>
    <xf numFmtId="0" fontId="39" fillId="0" borderId="100" xfId="0" applyFont="1" applyBorder="1" applyAlignment="1">
      <alignment horizontal="center" vertical="center" wrapText="1"/>
    </xf>
    <xf numFmtId="6" fontId="39" fillId="0" borderId="100" xfId="0" applyNumberFormat="1" applyFont="1" applyBorder="1" applyAlignment="1">
      <alignment horizontal="center" vertical="center" wrapText="1"/>
    </xf>
    <xf numFmtId="0" fontId="39" fillId="0" borderId="97" xfId="0" applyFont="1" applyBorder="1" applyAlignment="1">
      <alignment horizontal="center" vertical="center" wrapText="1"/>
    </xf>
    <xf numFmtId="0" fontId="39" fillId="0" borderId="101" xfId="0" applyFont="1" applyBorder="1" applyAlignment="1">
      <alignment horizontal="center" vertical="center" wrapText="1"/>
    </xf>
    <xf numFmtId="0" fontId="0" fillId="0" borderId="11" xfId="0" applyBorder="1" applyAlignment="1">
      <alignment horizontal="left"/>
    </xf>
    <xf numFmtId="0" fontId="0" fillId="0" borderId="0" xfId="0" applyFill="1" applyBorder="1" applyAlignment="1">
      <alignment horizontal="centerContinuous"/>
    </xf>
    <xf numFmtId="0" fontId="2" fillId="8" borderId="49" xfId="0" applyFont="1" applyFill="1" applyBorder="1" applyAlignment="1">
      <alignment horizontal="centerContinuous" wrapText="1"/>
    </xf>
    <xf numFmtId="0" fontId="2" fillId="0" borderId="50" xfId="0" applyFont="1" applyBorder="1" applyAlignment="1">
      <alignment horizontal="centerContinuous"/>
    </xf>
    <xf numFmtId="0" fontId="2" fillId="0" borderId="68" xfId="0" applyFont="1" applyBorder="1" applyAlignment="1">
      <alignment horizontal="centerContinuous"/>
    </xf>
    <xf numFmtId="0" fontId="2" fillId="0" borderId="103" xfId="0" applyFont="1" applyBorder="1" applyAlignment="1">
      <alignment horizontal="center"/>
    </xf>
    <xf numFmtId="0" fontId="2" fillId="0" borderId="30" xfId="0" applyFont="1" applyBorder="1" applyAlignment="1"/>
    <xf numFmtId="0" fontId="0" fillId="0" borderId="32" xfId="0" applyFill="1" applyBorder="1" applyAlignment="1">
      <alignment horizontal="centerContinuous"/>
    </xf>
    <xf numFmtId="0" fontId="15" fillId="0" borderId="0" xfId="0" applyFont="1" applyAlignment="1">
      <alignment vertical="top"/>
    </xf>
    <xf numFmtId="3" fontId="2" fillId="10" borderId="33" xfId="0" applyNumberFormat="1" applyFont="1" applyFill="1" applyBorder="1" applyProtection="1"/>
    <xf numFmtId="4" fontId="0" fillId="0" borderId="0" xfId="0" applyNumberFormat="1" applyBorder="1"/>
    <xf numFmtId="3" fontId="0" fillId="10" borderId="0" xfId="0" applyNumberFormat="1" applyFill="1" applyBorder="1"/>
    <xf numFmtId="0" fontId="1" fillId="10" borderId="0" xfId="0" applyFont="1" applyFill="1" applyBorder="1"/>
    <xf numFmtId="0" fontId="1" fillId="10" borderId="0" xfId="0" applyFont="1" applyFill="1" applyBorder="1" applyAlignment="1">
      <alignment horizontal="right"/>
    </xf>
    <xf numFmtId="170" fontId="0" fillId="0" borderId="0" xfId="49" applyNumberFormat="1" applyFont="1" applyBorder="1"/>
    <xf numFmtId="0" fontId="1" fillId="0" borderId="0" xfId="0" applyFont="1" applyBorder="1"/>
    <xf numFmtId="166" fontId="2" fillId="10" borderId="80" xfId="1" applyNumberFormat="1" applyFont="1" applyFill="1" applyBorder="1" applyAlignment="1" applyProtection="1">
      <alignment horizontal="left"/>
      <protection locked="0"/>
    </xf>
    <xf numFmtId="0" fontId="0" fillId="10" borderId="48" xfId="0" applyFill="1" applyBorder="1"/>
    <xf numFmtId="0" fontId="0" fillId="10" borderId="64" xfId="0" applyFill="1" applyBorder="1"/>
    <xf numFmtId="0" fontId="0" fillId="10" borderId="12" xfId="0" applyFill="1" applyBorder="1"/>
    <xf numFmtId="0" fontId="0" fillId="10" borderId="66" xfId="0" applyFill="1" applyBorder="1"/>
    <xf numFmtId="3" fontId="0" fillId="10" borderId="1" xfId="0" applyNumberFormat="1" applyFill="1" applyBorder="1"/>
    <xf numFmtId="0" fontId="0" fillId="10" borderId="1" xfId="0" applyFill="1" applyBorder="1"/>
    <xf numFmtId="0" fontId="0" fillId="10" borderId="14" xfId="0" applyFill="1" applyBorder="1"/>
    <xf numFmtId="3" fontId="0" fillId="10" borderId="14" xfId="0" applyNumberFormat="1" applyFill="1" applyBorder="1"/>
    <xf numFmtId="0" fontId="0" fillId="10" borderId="67" xfId="0" applyFill="1" applyBorder="1"/>
    <xf numFmtId="3" fontId="0" fillId="10" borderId="38" xfId="0" applyNumberFormat="1" applyFill="1" applyBorder="1"/>
    <xf numFmtId="3" fontId="0" fillId="10" borderId="10" xfId="0" applyNumberFormat="1" applyFill="1" applyBorder="1"/>
    <xf numFmtId="0" fontId="1" fillId="0" borderId="30" xfId="0" applyFont="1" applyBorder="1" applyAlignment="1">
      <alignment horizontal="centerContinuous"/>
    </xf>
    <xf numFmtId="164" fontId="2" fillId="10" borderId="38" xfId="0" applyNumberFormat="1" applyFont="1" applyFill="1" applyBorder="1"/>
    <xf numFmtId="171" fontId="0" fillId="0" borderId="35" xfId="0" applyNumberFormat="1" applyBorder="1"/>
    <xf numFmtId="164" fontId="2" fillId="0" borderId="38" xfId="0" applyNumberFormat="1" applyFont="1" applyFill="1" applyBorder="1"/>
    <xf numFmtId="44" fontId="0" fillId="0" borderId="35" xfId="0" applyNumberFormat="1" applyBorder="1"/>
    <xf numFmtId="172" fontId="0" fillId="0" borderId="0" xfId="0" applyNumberFormat="1" applyBorder="1"/>
    <xf numFmtId="0" fontId="1" fillId="0" borderId="0" xfId="0" applyFont="1"/>
    <xf numFmtId="0" fontId="1" fillId="0" borderId="0" xfId="0" applyFont="1" applyFill="1" applyBorder="1" applyAlignment="1">
      <alignment horizontal="left"/>
    </xf>
    <xf numFmtId="0" fontId="1" fillId="0" borderId="27" xfId="0" applyFont="1" applyFill="1" applyBorder="1" applyAlignment="1">
      <alignment horizontal="left"/>
    </xf>
    <xf numFmtId="173" fontId="2" fillId="0" borderId="38" xfId="1" applyNumberFormat="1" applyFont="1" applyBorder="1"/>
    <xf numFmtId="3" fontId="2" fillId="11" borderId="1" xfId="0" applyNumberFormat="1" applyFont="1" applyFill="1" applyBorder="1" applyProtection="1">
      <protection locked="0"/>
    </xf>
    <xf numFmtId="164" fontId="41" fillId="0" borderId="59" xfId="0" applyNumberFormat="1" applyFont="1" applyBorder="1" applyAlignment="1">
      <alignment horizontal="center"/>
    </xf>
    <xf numFmtId="164" fontId="1" fillId="0" borderId="0" xfId="0" applyNumberFormat="1" applyFont="1" applyBorder="1"/>
    <xf numFmtId="0" fontId="2" fillId="0" borderId="47" xfId="0" applyFont="1" applyFill="1" applyBorder="1" applyAlignment="1" applyProtection="1">
      <alignment horizontal="left"/>
      <protection locked="0"/>
    </xf>
    <xf numFmtId="0" fontId="2" fillId="0" borderId="0" xfId="0" applyFont="1" applyFill="1" applyBorder="1" applyAlignment="1" applyProtection="1">
      <alignment horizontal="left"/>
      <protection locked="0"/>
    </xf>
    <xf numFmtId="0" fontId="2" fillId="0" borderId="45" xfId="0" applyFont="1" applyFill="1" applyBorder="1" applyAlignment="1" applyProtection="1">
      <alignment horizontal="left"/>
      <protection locked="0"/>
    </xf>
    <xf numFmtId="174" fontId="9" fillId="0" borderId="0" xfId="0" applyNumberFormat="1" applyFont="1" applyBorder="1"/>
    <xf numFmtId="164" fontId="9" fillId="10" borderId="57" xfId="0" applyNumberFormat="1" applyFont="1" applyFill="1" applyBorder="1"/>
    <xf numFmtId="3" fontId="2" fillId="10" borderId="36" xfId="0" applyNumberFormat="1" applyFont="1" applyFill="1" applyBorder="1" applyProtection="1"/>
    <xf numFmtId="3" fontId="2" fillId="10" borderId="70" xfId="0" applyNumberFormat="1" applyFont="1" applyFill="1" applyBorder="1" applyAlignment="1"/>
    <xf numFmtId="171" fontId="42" fillId="0" borderId="0" xfId="49" applyNumberFormat="1" applyFont="1" applyFill="1" applyBorder="1"/>
    <xf numFmtId="0" fontId="41" fillId="0" borderId="0" xfId="0" applyFont="1" applyFill="1" applyBorder="1"/>
    <xf numFmtId="165" fontId="41" fillId="0" borderId="0" xfId="0" applyNumberFormat="1" applyFont="1" applyFill="1" applyBorder="1"/>
    <xf numFmtId="0" fontId="42" fillId="10" borderId="0" xfId="0" applyFont="1" applyFill="1" applyBorder="1"/>
    <xf numFmtId="2" fontId="41" fillId="0" borderId="0" xfId="0" applyNumberFormat="1" applyFont="1" applyBorder="1" applyAlignment="1">
      <alignment horizontal="right"/>
    </xf>
    <xf numFmtId="0" fontId="0" fillId="0" borderId="26" xfId="0" applyBorder="1" applyAlignment="1">
      <alignment horizontal="center"/>
    </xf>
    <xf numFmtId="0" fontId="0" fillId="0" borderId="27" xfId="0" applyBorder="1" applyAlignment="1">
      <alignment horizontal="center"/>
    </xf>
    <xf numFmtId="0" fontId="17" fillId="0" borderId="0" xfId="0" applyFont="1" applyBorder="1" applyAlignment="1">
      <alignment horizontal="center"/>
    </xf>
    <xf numFmtId="0" fontId="2" fillId="0" borderId="60" xfId="0" applyFont="1" applyBorder="1" applyAlignment="1">
      <alignment horizontal="centerContinuous"/>
    </xf>
    <xf numFmtId="0" fontId="18" fillId="0" borderId="0" xfId="2" applyBorder="1" applyAlignment="1" applyProtection="1">
      <protection locked="0"/>
    </xf>
    <xf numFmtId="0" fontId="2" fillId="0" borderId="73" xfId="0" applyFont="1" applyBorder="1" applyAlignment="1">
      <alignment horizontal="center"/>
    </xf>
    <xf numFmtId="0" fontId="2" fillId="0" borderId="16" xfId="0" applyFont="1" applyBorder="1" applyAlignment="1">
      <alignment horizontal="centerContinuous"/>
    </xf>
    <xf numFmtId="0" fontId="2" fillId="0" borderId="58" xfId="0" applyFont="1" applyBorder="1" applyAlignment="1">
      <alignment horizontal="center" wrapText="1"/>
    </xf>
    <xf numFmtId="0" fontId="9" fillId="7" borderId="107" xfId="0" applyFont="1" applyFill="1" applyBorder="1" applyAlignment="1" applyProtection="1">
      <alignment horizontal="center"/>
      <protection locked="0"/>
    </xf>
    <xf numFmtId="0" fontId="18" fillId="0" borderId="88" xfId="2" applyBorder="1" applyAlignment="1" applyProtection="1">
      <protection locked="0"/>
    </xf>
    <xf numFmtId="0" fontId="2" fillId="0" borderId="11" xfId="0" applyFont="1" applyBorder="1" applyAlignment="1">
      <alignment horizontal="centerContinuous"/>
    </xf>
    <xf numFmtId="0" fontId="2" fillId="0" borderId="108" xfId="0" applyFont="1" applyBorder="1" applyAlignment="1">
      <alignment horizontal="centerContinuous"/>
    </xf>
    <xf numFmtId="0" fontId="2" fillId="0" borderId="104" xfId="0" applyFont="1" applyBorder="1" applyAlignment="1">
      <alignment horizontal="centerContinuous"/>
    </xf>
    <xf numFmtId="0" fontId="2" fillId="0" borderId="23" xfId="0" applyFont="1" applyBorder="1" applyAlignment="1">
      <alignment horizontal="centerContinuous"/>
    </xf>
    <xf numFmtId="0" fontId="0" fillId="0" borderId="105" xfId="0" applyBorder="1" applyAlignment="1">
      <alignment horizontal="centerContinuous"/>
    </xf>
    <xf numFmtId="0" fontId="0" fillId="0" borderId="21" xfId="0" applyBorder="1" applyAlignment="1">
      <alignment horizontal="centerContinuous"/>
    </xf>
    <xf numFmtId="0" fontId="0" fillId="0" borderId="7" xfId="0" applyBorder="1" applyAlignment="1">
      <alignment horizontal="center"/>
    </xf>
    <xf numFmtId="0" fontId="2" fillId="0" borderId="57" xfId="0" applyFont="1" applyBorder="1" applyAlignment="1">
      <alignment horizontal="center" wrapText="1"/>
    </xf>
    <xf numFmtId="0" fontId="2" fillId="0" borderId="62" xfId="0" applyFont="1" applyBorder="1" applyAlignment="1">
      <alignment horizontal="center" wrapText="1"/>
    </xf>
    <xf numFmtId="0" fontId="2" fillId="0" borderId="78" xfId="0" applyFont="1" applyBorder="1" applyAlignment="1">
      <alignment horizontal="center" wrapText="1"/>
    </xf>
    <xf numFmtId="0" fontId="2" fillId="0" borderId="62" xfId="0" applyFont="1" applyBorder="1" applyAlignment="1">
      <alignment horizontal="center"/>
    </xf>
    <xf numFmtId="0" fontId="2" fillId="0" borderId="81" xfId="0" applyFont="1" applyBorder="1" applyAlignment="1">
      <alignment horizontal="center" wrapText="1"/>
    </xf>
    <xf numFmtId="0" fontId="2" fillId="0" borderId="61" xfId="0" applyFont="1" applyBorder="1" applyAlignment="1">
      <alignment horizontal="center" wrapText="1"/>
    </xf>
    <xf numFmtId="0" fontId="2" fillId="12" borderId="4" xfId="0" applyFont="1" applyFill="1" applyBorder="1" applyAlignment="1" applyProtection="1">
      <alignment horizontal="center"/>
      <protection locked="0"/>
    </xf>
    <xf numFmtId="0" fontId="2" fillId="12" borderId="1" xfId="0" applyFont="1" applyFill="1" applyBorder="1" applyAlignment="1" applyProtection="1">
      <alignment horizontal="center"/>
      <protection locked="0"/>
    </xf>
    <xf numFmtId="0" fontId="2" fillId="12" borderId="4" xfId="0" applyFont="1" applyFill="1" applyBorder="1" applyProtection="1">
      <protection locked="0"/>
    </xf>
    <xf numFmtId="0" fontId="2" fillId="12" borderId="1" xfId="0" applyFont="1" applyFill="1" applyBorder="1" applyProtection="1">
      <protection locked="0"/>
    </xf>
    <xf numFmtId="0" fontId="43" fillId="0" borderId="0" xfId="0" applyFont="1" applyBorder="1"/>
    <xf numFmtId="0" fontId="9" fillId="7" borderId="17" xfId="0" applyFont="1" applyFill="1" applyBorder="1" applyAlignment="1" applyProtection="1">
      <alignment horizontal="center"/>
      <protection locked="0"/>
    </xf>
    <xf numFmtId="0" fontId="2" fillId="12" borderId="42" xfId="0" applyFont="1" applyFill="1" applyBorder="1" applyProtection="1">
      <protection locked="0"/>
    </xf>
    <xf numFmtId="0" fontId="2" fillId="12" borderId="2" xfId="0" applyFont="1" applyFill="1" applyBorder="1" applyAlignment="1" applyProtection="1">
      <alignment horizontal="center"/>
      <protection locked="0"/>
    </xf>
    <xf numFmtId="0" fontId="2" fillId="7" borderId="2" xfId="0" applyFont="1" applyFill="1" applyBorder="1" applyProtection="1">
      <protection locked="0"/>
    </xf>
    <xf numFmtId="164" fontId="2" fillId="7" borderId="47" xfId="0" applyNumberFormat="1" applyFont="1" applyFill="1" applyBorder="1" applyAlignment="1" applyProtection="1">
      <alignment horizontal="center"/>
      <protection locked="0"/>
    </xf>
    <xf numFmtId="2" fontId="2" fillId="7" borderId="6" xfId="0" applyNumberFormat="1" applyFont="1" applyFill="1" applyBorder="1" applyProtection="1">
      <protection locked="0"/>
    </xf>
    <xf numFmtId="2" fontId="0" fillId="0" borderId="47" xfId="0" applyNumberFormat="1" applyFill="1" applyBorder="1"/>
    <xf numFmtId="164" fontId="12" fillId="0" borderId="73" xfId="0" applyNumberFormat="1" applyFont="1" applyFill="1" applyBorder="1" applyAlignment="1">
      <alignment horizontal="center"/>
    </xf>
    <xf numFmtId="164" fontId="0" fillId="0" borderId="42" xfId="0" applyNumberFormat="1" applyBorder="1" applyAlignment="1">
      <alignment horizontal="center"/>
    </xf>
    <xf numFmtId="164" fontId="0" fillId="0" borderId="73" xfId="0" applyNumberFormat="1" applyBorder="1" applyAlignment="1">
      <alignment horizontal="center"/>
    </xf>
    <xf numFmtId="164" fontId="2" fillId="0" borderId="76" xfId="0" applyNumberFormat="1" applyFont="1" applyBorder="1" applyAlignment="1">
      <alignment horizontal="center"/>
    </xf>
    <xf numFmtId="0" fontId="0" fillId="0" borderId="58" xfId="0" applyBorder="1" applyAlignment="1">
      <alignment horizontal="center"/>
    </xf>
    <xf numFmtId="0" fontId="0" fillId="0" borderId="31" xfId="0" applyBorder="1" applyAlignment="1">
      <alignment horizontal="center"/>
    </xf>
    <xf numFmtId="0" fontId="0" fillId="0" borderId="30" xfId="0" applyBorder="1" applyAlignment="1">
      <alignment horizontal="center"/>
    </xf>
    <xf numFmtId="0" fontId="2" fillId="0" borderId="30" xfId="0" applyFont="1" applyBorder="1"/>
    <xf numFmtId="0" fontId="2" fillId="0" borderId="31" xfId="0" applyFont="1" applyBorder="1"/>
    <xf numFmtId="0" fontId="2" fillId="0" borderId="78" xfId="0" applyFont="1" applyBorder="1"/>
    <xf numFmtId="0" fontId="2" fillId="0" borderId="31" xfId="0" applyFont="1" applyBorder="1" applyAlignment="1">
      <alignment horizontal="center"/>
    </xf>
    <xf numFmtId="0" fontId="2" fillId="0" borderId="62" xfId="0" applyFont="1" applyBorder="1"/>
    <xf numFmtId="2" fontId="2" fillId="0" borderId="31" xfId="0" applyNumberFormat="1" applyFont="1" applyBorder="1"/>
    <xf numFmtId="164" fontId="2" fillId="0" borderId="61" xfId="0" applyNumberFormat="1" applyFont="1" applyBorder="1" applyAlignment="1">
      <alignment horizontal="center"/>
    </xf>
    <xf numFmtId="164" fontId="2" fillId="0" borderId="78" xfId="0" applyNumberFormat="1" applyFont="1" applyBorder="1" applyAlignment="1">
      <alignment horizontal="center"/>
    </xf>
    <xf numFmtId="164" fontId="2" fillId="0" borderId="62" xfId="0" applyNumberFormat="1" applyFont="1" applyBorder="1" applyAlignment="1">
      <alignment horizontal="center"/>
    </xf>
    <xf numFmtId="0" fontId="2" fillId="0" borderId="25" xfId="0" applyFont="1" applyBorder="1" applyAlignment="1">
      <alignment horizontal="center" wrapText="1"/>
    </xf>
    <xf numFmtId="0" fontId="2" fillId="0" borderId="75" xfId="0" applyFont="1" applyBorder="1" applyAlignment="1">
      <alignment horizontal="center" wrapText="1"/>
    </xf>
    <xf numFmtId="0" fontId="35" fillId="8" borderId="50" xfId="0" applyNumberFormat="1" applyFont="1" applyFill="1" applyBorder="1" applyAlignment="1">
      <alignment horizontal="center" wrapText="1"/>
    </xf>
    <xf numFmtId="0" fontId="2" fillId="0" borderId="69" xfId="0" applyFont="1" applyBorder="1" applyAlignment="1">
      <alignment horizontal="centerContinuous"/>
    </xf>
    <xf numFmtId="0" fontId="2" fillId="0" borderId="58" xfId="0" applyFont="1" applyBorder="1" applyAlignment="1">
      <alignment horizontal="centerContinuous"/>
    </xf>
    <xf numFmtId="0" fontId="2" fillId="0" borderId="30" xfId="0" applyFont="1" applyBorder="1" applyAlignment="1">
      <alignment horizontal="centerContinuous"/>
    </xf>
    <xf numFmtId="0" fontId="2" fillId="0" borderId="57" xfId="0" applyFont="1" applyBorder="1" applyAlignment="1">
      <alignment horizontal="centerContinuous"/>
    </xf>
    <xf numFmtId="0" fontId="2" fillId="0" borderId="81" xfId="0" applyFont="1" applyBorder="1" applyAlignment="1">
      <alignment horizontal="centerContinuous"/>
    </xf>
    <xf numFmtId="0" fontId="2" fillId="0" borderId="31" xfId="0" applyFont="1" applyBorder="1" applyAlignment="1">
      <alignment horizontal="centerContinuous"/>
    </xf>
    <xf numFmtId="0" fontId="0" fillId="0" borderId="78" xfId="0" applyBorder="1" applyAlignment="1">
      <alignment horizontal="centerContinuous"/>
    </xf>
    <xf numFmtId="0" fontId="2" fillId="12" borderId="42" xfId="0" applyFont="1" applyFill="1" applyBorder="1" applyAlignment="1" applyProtection="1">
      <alignment horizontal="center"/>
      <protection locked="0"/>
    </xf>
    <xf numFmtId="0" fontId="0" fillId="0" borderId="78" xfId="0" applyBorder="1" applyAlignment="1">
      <alignment horizontal="center"/>
    </xf>
    <xf numFmtId="0" fontId="0" fillId="0" borderId="62" xfId="0" applyBorder="1" applyAlignment="1">
      <alignment horizontal="center"/>
    </xf>
    <xf numFmtId="0" fontId="2" fillId="0" borderId="25" xfId="0" applyFont="1" applyBorder="1" applyAlignment="1">
      <alignment horizontal="center"/>
    </xf>
    <xf numFmtId="0" fontId="4" fillId="0" borderId="0" xfId="0" applyFont="1" applyBorder="1" applyAlignment="1">
      <alignment horizontal="left"/>
    </xf>
    <xf numFmtId="4" fontId="0" fillId="0" borderId="0" xfId="0" applyNumberFormat="1" applyBorder="1" applyAlignment="1">
      <alignment horizontal="left"/>
    </xf>
    <xf numFmtId="4" fontId="12" fillId="0" borderId="0" xfId="0" applyNumberFormat="1" applyFont="1" applyBorder="1" applyAlignment="1">
      <alignment horizontal="left"/>
    </xf>
    <xf numFmtId="4" fontId="12" fillId="0" borderId="0" xfId="0" applyNumberFormat="1" applyFont="1" applyFill="1" applyBorder="1" applyAlignment="1">
      <alignment horizontal="left"/>
    </xf>
    <xf numFmtId="4" fontId="12" fillId="6" borderId="0" xfId="0" applyNumberFormat="1" applyFont="1" applyFill="1" applyBorder="1" applyAlignment="1">
      <alignment horizontal="left"/>
    </xf>
    <xf numFmtId="2" fontId="2" fillId="0" borderId="69" xfId="0" applyNumberFormat="1" applyFont="1" applyBorder="1" applyAlignment="1">
      <alignment horizontal="right"/>
    </xf>
    <xf numFmtId="2" fontId="2" fillId="0" borderId="12" xfId="0" applyNumberFormat="1" applyFont="1" applyBorder="1" applyAlignment="1">
      <alignment horizontal="right"/>
    </xf>
    <xf numFmtId="2" fontId="0" fillId="0" borderId="67" xfId="0" applyNumberFormat="1" applyBorder="1" applyAlignment="1">
      <alignment horizontal="right"/>
    </xf>
    <xf numFmtId="2" fontId="0" fillId="0" borderId="38" xfId="0" applyNumberFormat="1" applyBorder="1" applyAlignment="1">
      <alignment horizontal="right"/>
    </xf>
    <xf numFmtId="0" fontId="0" fillId="0" borderId="8" xfId="0" applyBorder="1" applyAlignment="1">
      <alignment horizontal="center"/>
    </xf>
    <xf numFmtId="0" fontId="0" fillId="0" borderId="9" xfId="0" applyBorder="1" applyAlignment="1">
      <alignment horizontal="center"/>
    </xf>
    <xf numFmtId="0" fontId="0" fillId="13" borderId="0" xfId="0" applyFill="1" applyAlignment="1">
      <alignment horizontal="center"/>
    </xf>
    <xf numFmtId="0" fontId="0" fillId="13" borderId="0" xfId="0" applyFill="1"/>
    <xf numFmtId="0" fontId="9" fillId="14" borderId="109" xfId="0" applyFont="1" applyFill="1" applyBorder="1" applyAlignment="1" applyProtection="1">
      <alignment horizontal="center"/>
      <protection locked="0"/>
    </xf>
    <xf numFmtId="0" fontId="9" fillId="14" borderId="53" xfId="0" applyFont="1" applyFill="1" applyBorder="1" applyAlignment="1" applyProtection="1">
      <alignment horizontal="center"/>
      <protection locked="0"/>
    </xf>
    <xf numFmtId="0" fontId="9" fillId="14" borderId="77" xfId="0" applyFont="1" applyFill="1" applyBorder="1" applyAlignment="1" applyProtection="1">
      <alignment horizontal="center"/>
      <protection locked="0"/>
    </xf>
    <xf numFmtId="0" fontId="2" fillId="0" borderId="24" xfId="0" applyFont="1" applyBorder="1" applyAlignment="1">
      <alignment horizontal="center" wrapText="1"/>
    </xf>
    <xf numFmtId="49" fontId="44" fillId="15" borderId="1" xfId="0" applyNumberFormat="1" applyFont="1" applyFill="1" applyBorder="1" applyAlignment="1">
      <alignment horizontal="right" wrapText="1"/>
    </xf>
    <xf numFmtId="49" fontId="44" fillId="15" borderId="57" xfId="0" applyNumberFormat="1" applyFont="1" applyFill="1" applyBorder="1" applyAlignment="1">
      <alignment horizontal="right" wrapText="1"/>
    </xf>
    <xf numFmtId="49" fontId="2" fillId="15" borderId="62" xfId="0" applyNumberFormat="1" applyFont="1" applyFill="1" applyBorder="1" applyAlignment="1">
      <alignment horizontal="left" wrapText="1"/>
    </xf>
    <xf numFmtId="49" fontId="44" fillId="15" borderId="62" xfId="0" applyNumberFormat="1" applyFont="1" applyFill="1" applyBorder="1" applyAlignment="1">
      <alignment horizontal="right" wrapText="1"/>
    </xf>
    <xf numFmtId="49" fontId="2" fillId="15" borderId="61" xfId="0" applyNumberFormat="1" applyFont="1" applyFill="1" applyBorder="1" applyAlignment="1">
      <alignment horizontal="left" wrapText="1"/>
    </xf>
    <xf numFmtId="0" fontId="2" fillId="0" borderId="32" xfId="0" applyFont="1" applyBorder="1" applyAlignment="1">
      <alignment horizontal="center" wrapText="1"/>
    </xf>
    <xf numFmtId="0" fontId="0" fillId="0" borderId="0" xfId="0" applyAlignment="1">
      <alignment horizontal="left"/>
    </xf>
    <xf numFmtId="49" fontId="2" fillId="15" borderId="14" xfId="0" applyNumberFormat="1" applyFont="1" applyFill="1" applyBorder="1" applyAlignment="1">
      <alignment horizontal="left" wrapText="1"/>
    </xf>
    <xf numFmtId="0" fontId="42" fillId="12" borderId="66" xfId="0" applyFont="1" applyFill="1" applyBorder="1" applyAlignment="1" applyProtection="1">
      <alignment horizontal="center"/>
      <protection locked="0"/>
    </xf>
    <xf numFmtId="0" fontId="42" fillId="12" borderId="4" xfId="0" applyFont="1" applyFill="1" applyBorder="1" applyAlignment="1" applyProtection="1">
      <alignment horizontal="center"/>
      <protection locked="0"/>
    </xf>
    <xf numFmtId="175" fontId="42" fillId="12" borderId="14" xfId="0" applyNumberFormat="1" applyFont="1" applyFill="1" applyBorder="1" applyAlignment="1" applyProtection="1">
      <alignment horizontal="center"/>
      <protection locked="0"/>
    </xf>
    <xf numFmtId="49" fontId="2" fillId="15" borderId="1" xfId="0" applyNumberFormat="1" applyFont="1" applyFill="1" applyBorder="1" applyAlignment="1">
      <alignment horizontal="center" wrapText="1"/>
    </xf>
    <xf numFmtId="49" fontId="2" fillId="15" borderId="62" xfId="0" applyNumberFormat="1" applyFont="1" applyFill="1" applyBorder="1" applyAlignment="1">
      <alignment horizontal="center" wrapText="1"/>
    </xf>
    <xf numFmtId="0" fontId="45" fillId="0" borderId="0" xfId="0" applyFont="1" applyAlignment="1">
      <alignment horizontal="left" vertical="center"/>
    </xf>
    <xf numFmtId="2" fontId="2" fillId="16" borderId="61" xfId="0" applyNumberFormat="1" applyFont="1" applyFill="1" applyBorder="1" applyAlignment="1">
      <alignment horizontal="right"/>
    </xf>
    <xf numFmtId="2" fontId="0" fillId="0" borderId="106" xfId="0" applyNumberFormat="1" applyBorder="1" applyAlignment="1">
      <alignment horizontal="right"/>
    </xf>
    <xf numFmtId="2" fontId="0" fillId="0" borderId="2" xfId="0" applyNumberFormat="1" applyBorder="1" applyAlignment="1">
      <alignment horizontal="right"/>
    </xf>
    <xf numFmtId="2" fontId="2" fillId="0" borderId="103" xfId="0" applyNumberFormat="1" applyFont="1" applyBorder="1" applyAlignment="1">
      <alignment horizontal="right"/>
    </xf>
    <xf numFmtId="2" fontId="1" fillId="16" borderId="57" xfId="0" applyNumberFormat="1" applyFont="1" applyFill="1" applyBorder="1" applyAlignment="1">
      <alignment horizontal="right"/>
    </xf>
    <xf numFmtId="2" fontId="1" fillId="16" borderId="62" xfId="0" applyNumberFormat="1" applyFont="1" applyFill="1" applyBorder="1" applyAlignment="1">
      <alignment horizontal="right"/>
    </xf>
    <xf numFmtId="2" fontId="1" fillId="16" borderId="81" xfId="0" applyNumberFormat="1" applyFont="1" applyFill="1" applyBorder="1" applyAlignment="1">
      <alignment horizontal="right"/>
    </xf>
    <xf numFmtId="2" fontId="2" fillId="16" borderId="49" xfId="0" applyNumberFormat="1" applyFont="1" applyFill="1" applyBorder="1" applyAlignment="1">
      <alignment horizontal="right"/>
    </xf>
    <xf numFmtId="2" fontId="2" fillId="16" borderId="50" xfId="0" applyNumberFormat="1" applyFont="1" applyFill="1" applyBorder="1" applyAlignment="1">
      <alignment horizontal="right"/>
    </xf>
    <xf numFmtId="2" fontId="2" fillId="16" borderId="68" xfId="0" applyNumberFormat="1" applyFont="1" applyFill="1" applyBorder="1" applyAlignment="1">
      <alignment horizontal="right"/>
    </xf>
    <xf numFmtId="2" fontId="2" fillId="16" borderId="69" xfId="0" applyNumberFormat="1" applyFont="1" applyFill="1" applyBorder="1" applyAlignment="1">
      <alignment horizontal="right"/>
    </xf>
    <xf numFmtId="0" fontId="37" fillId="0" borderId="0" xfId="0" applyFont="1" applyAlignment="1">
      <alignment vertical="center"/>
    </xf>
    <xf numFmtId="0" fontId="42" fillId="12" borderId="1" xfId="0" applyFont="1" applyFill="1" applyBorder="1" applyAlignment="1" applyProtection="1">
      <alignment horizontal="center"/>
      <protection locked="0"/>
    </xf>
    <xf numFmtId="49" fontId="2" fillId="15" borderId="32" xfId="0" applyNumberFormat="1" applyFont="1" applyFill="1" applyBorder="1" applyAlignment="1">
      <alignment horizontal="left" wrapText="1"/>
    </xf>
    <xf numFmtId="0" fontId="42" fillId="12" borderId="38" xfId="0" applyFont="1" applyFill="1" applyBorder="1" applyAlignment="1" applyProtection="1">
      <alignment horizontal="center"/>
      <protection locked="0"/>
    </xf>
    <xf numFmtId="175" fontId="42" fillId="12" borderId="10" xfId="0" applyNumberFormat="1" applyFont="1" applyFill="1" applyBorder="1" applyAlignment="1" applyProtection="1">
      <alignment horizontal="center"/>
      <protection locked="0"/>
    </xf>
    <xf numFmtId="0" fontId="39" fillId="0" borderId="99" xfId="0" applyFont="1" applyBorder="1" applyAlignment="1">
      <alignment horizontal="center" vertical="center" wrapText="1"/>
    </xf>
    <xf numFmtId="3" fontId="0" fillId="3" borderId="32" xfId="0" applyNumberFormat="1" applyFill="1" applyBorder="1"/>
    <xf numFmtId="176" fontId="47" fillId="0" borderId="58" xfId="0" applyNumberFormat="1" applyFont="1" applyFill="1" applyBorder="1" applyAlignment="1">
      <alignment horizontal="right" vertical="top" wrapText="1"/>
    </xf>
    <xf numFmtId="3" fontId="0" fillId="0" borderId="58" xfId="0" applyNumberFormat="1" applyFill="1" applyBorder="1" applyAlignment="1">
      <alignment horizontal="right"/>
    </xf>
    <xf numFmtId="0" fontId="48" fillId="13" borderId="0" xfId="0" applyFont="1" applyFill="1" applyAlignment="1">
      <alignment horizontal="left"/>
    </xf>
    <xf numFmtId="0" fontId="0" fillId="0" borderId="30" xfId="0" applyBorder="1" applyAlignment="1">
      <alignment horizontal="right"/>
    </xf>
    <xf numFmtId="0" fontId="0" fillId="0" borderId="60" xfId="0" applyBorder="1"/>
    <xf numFmtId="0" fontId="0" fillId="0" borderId="110" xfId="0" applyBorder="1"/>
    <xf numFmtId="0" fontId="0" fillId="0" borderId="109" xfId="0" applyBorder="1"/>
    <xf numFmtId="176" fontId="47" fillId="0" borderId="1" xfId="0" applyNumberFormat="1" applyFont="1" applyFill="1" applyBorder="1" applyAlignment="1">
      <alignment horizontal="right" vertical="top" wrapText="1"/>
    </xf>
    <xf numFmtId="0" fontId="39" fillId="0" borderId="99" xfId="0" applyFont="1" applyBorder="1" applyAlignment="1">
      <alignment horizontal="center" vertical="center" wrapText="1"/>
    </xf>
    <xf numFmtId="168" fontId="8" fillId="0" borderId="0" xfId="0" applyNumberFormat="1" applyFont="1" applyFill="1" applyBorder="1" applyAlignment="1" applyProtection="1">
      <alignment horizontal="left" indent="1"/>
    </xf>
    <xf numFmtId="49" fontId="2" fillId="15" borderId="30" xfId="0" applyNumberFormat="1" applyFont="1" applyFill="1" applyBorder="1" applyAlignment="1">
      <alignment horizontal="left"/>
    </xf>
    <xf numFmtId="0" fontId="42" fillId="12" borderId="54" xfId="0" applyFont="1" applyFill="1" applyBorder="1" applyAlignment="1" applyProtection="1">
      <alignment horizontal="center"/>
      <protection locked="0"/>
    </xf>
    <xf numFmtId="0" fontId="2" fillId="15" borderId="1" xfId="0" applyFont="1" applyFill="1" applyBorder="1" applyAlignment="1">
      <alignment horizontal="right"/>
    </xf>
    <xf numFmtId="49" fontId="2" fillId="15" borderId="31" xfId="0" applyNumberFormat="1" applyFont="1" applyFill="1" applyBorder="1" applyAlignment="1">
      <alignment horizontal="left" wrapText="1"/>
    </xf>
    <xf numFmtId="0" fontId="42" fillId="12" borderId="64" xfId="0" applyFont="1" applyFill="1" applyBorder="1" applyAlignment="1" applyProtection="1">
      <alignment horizontal="center"/>
      <protection locked="0"/>
    </xf>
    <xf numFmtId="0" fontId="9" fillId="14" borderId="15" xfId="0" applyFont="1" applyFill="1" applyBorder="1" applyAlignment="1" applyProtection="1">
      <alignment horizontal="center"/>
      <protection locked="0"/>
    </xf>
    <xf numFmtId="0" fontId="9" fillId="14" borderId="63" xfId="0" applyFont="1" applyFill="1" applyBorder="1" applyAlignment="1" applyProtection="1">
      <alignment horizontal="center"/>
      <protection locked="0"/>
    </xf>
    <xf numFmtId="0" fontId="9" fillId="14" borderId="24" xfId="0" applyFont="1" applyFill="1" applyBorder="1" applyAlignment="1" applyProtection="1">
      <alignment horizontal="center"/>
      <protection locked="0"/>
    </xf>
    <xf numFmtId="0" fontId="42" fillId="12" borderId="48" xfId="0" applyFont="1" applyFill="1" applyBorder="1" applyAlignment="1" applyProtection="1">
      <alignment horizontal="center"/>
      <protection locked="0"/>
    </xf>
    <xf numFmtId="0" fontId="42" fillId="12" borderId="52" xfId="0" applyFont="1" applyFill="1" applyBorder="1" applyAlignment="1" applyProtection="1">
      <alignment horizontal="center"/>
      <protection locked="0"/>
    </xf>
    <xf numFmtId="175" fontId="42" fillId="12" borderId="12" xfId="0" applyNumberFormat="1" applyFont="1" applyFill="1" applyBorder="1" applyAlignment="1" applyProtection="1">
      <alignment horizontal="center"/>
      <protection locked="0"/>
    </xf>
    <xf numFmtId="0" fontId="42" fillId="12" borderId="67" xfId="0" applyFont="1" applyFill="1" applyBorder="1" applyAlignment="1" applyProtection="1">
      <alignment horizontal="center"/>
      <protection locked="0"/>
    </xf>
    <xf numFmtId="0" fontId="2" fillId="0" borderId="57" xfId="0" applyFont="1" applyBorder="1" applyAlignment="1">
      <alignment horizontal="center"/>
    </xf>
    <xf numFmtId="0" fontId="42" fillId="12" borderId="5" xfId="0" applyFont="1" applyFill="1" applyBorder="1" applyAlignment="1" applyProtection="1">
      <alignment horizontal="center"/>
      <protection locked="0"/>
    </xf>
    <xf numFmtId="0" fontId="42" fillId="12" borderId="42" xfId="0" applyFont="1" applyFill="1" applyBorder="1" applyAlignment="1" applyProtection="1">
      <alignment horizontal="center"/>
      <protection locked="0"/>
    </xf>
    <xf numFmtId="0" fontId="42" fillId="12" borderId="7" xfId="0" applyFont="1" applyFill="1" applyBorder="1" applyAlignment="1" applyProtection="1">
      <alignment horizontal="center"/>
      <protection locked="0"/>
    </xf>
    <xf numFmtId="49" fontId="2" fillId="15" borderId="30" xfId="0" applyNumberFormat="1" applyFont="1" applyFill="1" applyBorder="1" applyAlignment="1">
      <alignment horizontal="left"/>
    </xf>
    <xf numFmtId="49" fontId="2" fillId="15" borderId="31" xfId="0" applyNumberFormat="1" applyFont="1" applyFill="1" applyBorder="1" applyAlignment="1">
      <alignment horizontal="left" wrapText="1"/>
    </xf>
    <xf numFmtId="0" fontId="1" fillId="0" borderId="0" xfId="0" applyFont="1" applyFill="1" applyBorder="1" applyAlignment="1">
      <alignment horizontal="right"/>
    </xf>
    <xf numFmtId="0" fontId="42" fillId="0" borderId="63" xfId="0" applyFont="1" applyBorder="1" applyAlignment="1">
      <alignment horizontal="center"/>
    </xf>
    <xf numFmtId="0" fontId="46" fillId="13" borderId="27" xfId="0" applyFont="1" applyFill="1" applyBorder="1" applyAlignment="1">
      <alignment horizontal="right"/>
    </xf>
    <xf numFmtId="0" fontId="36" fillId="13" borderId="27" xfId="0" applyFont="1" applyFill="1" applyBorder="1" applyAlignment="1">
      <alignment horizontal="center" vertical="center" wrapText="1"/>
    </xf>
    <xf numFmtId="14" fontId="2" fillId="7" borderId="93" xfId="0" applyNumberFormat="1" applyFont="1" applyFill="1" applyBorder="1" applyAlignment="1" applyProtection="1">
      <alignment horizontal="right"/>
      <protection locked="0"/>
    </xf>
    <xf numFmtId="0" fontId="0" fillId="7" borderId="94" xfId="0" applyFill="1" applyBorder="1" applyAlignment="1" applyProtection="1">
      <alignment horizontal="right"/>
      <protection locked="0"/>
    </xf>
    <xf numFmtId="0" fontId="0" fillId="7" borderId="95" xfId="0" applyFill="1" applyBorder="1" applyAlignment="1" applyProtection="1">
      <alignment horizontal="right"/>
      <protection locked="0"/>
    </xf>
    <xf numFmtId="2" fontId="2" fillId="7" borderId="72" xfId="0" applyNumberFormat="1" applyFont="1" applyFill="1" applyBorder="1" applyAlignment="1" applyProtection="1">
      <alignment horizontal="right"/>
      <protection locked="0"/>
    </xf>
    <xf numFmtId="0" fontId="0" fillId="7" borderId="86" xfId="0" applyFill="1" applyBorder="1" applyAlignment="1" applyProtection="1">
      <protection locked="0"/>
    </xf>
    <xf numFmtId="0" fontId="0" fillId="7" borderId="87" xfId="0" applyFill="1" applyBorder="1" applyAlignment="1" applyProtection="1">
      <protection locked="0"/>
    </xf>
    <xf numFmtId="0" fontId="0" fillId="7" borderId="90" xfId="0" applyFill="1" applyBorder="1" applyAlignment="1" applyProtection="1">
      <protection locked="0"/>
    </xf>
    <xf numFmtId="0" fontId="0" fillId="7" borderId="91" xfId="0" applyFill="1" applyBorder="1" applyAlignment="1" applyProtection="1">
      <protection locked="0"/>
    </xf>
    <xf numFmtId="0" fontId="0" fillId="7" borderId="92" xfId="0" applyFill="1" applyBorder="1" applyAlignment="1" applyProtection="1">
      <protection locked="0"/>
    </xf>
    <xf numFmtId="0" fontId="12" fillId="7" borderId="72" xfId="0" applyFont="1" applyFill="1" applyBorder="1" applyAlignment="1" applyProtection="1">
      <alignment horizontal="left" vertical="top" wrapText="1"/>
      <protection locked="0"/>
    </xf>
    <xf numFmtId="0" fontId="12" fillId="7" borderId="86" xfId="0" applyFont="1" applyFill="1" applyBorder="1" applyAlignment="1" applyProtection="1">
      <alignment horizontal="left" vertical="top" wrapText="1"/>
      <protection locked="0"/>
    </xf>
    <xf numFmtId="0" fontId="12" fillId="7" borderId="87" xfId="0" applyFont="1" applyFill="1" applyBorder="1" applyAlignment="1" applyProtection="1">
      <alignment horizontal="left" vertical="top" wrapText="1"/>
      <protection locked="0"/>
    </xf>
    <xf numFmtId="0" fontId="12" fillId="7" borderId="88" xfId="0" applyFont="1" applyFill="1" applyBorder="1" applyAlignment="1" applyProtection="1">
      <alignment horizontal="left" vertical="top" wrapText="1"/>
      <protection locked="0"/>
    </xf>
    <xf numFmtId="0" fontId="12" fillId="7" borderId="0" xfId="0" applyFont="1" applyFill="1" applyBorder="1" applyAlignment="1" applyProtection="1">
      <alignment horizontal="left" vertical="top" wrapText="1"/>
      <protection locked="0"/>
    </xf>
    <xf numFmtId="0" fontId="12" fillId="7" borderId="89" xfId="0" applyFont="1" applyFill="1" applyBorder="1" applyAlignment="1" applyProtection="1">
      <alignment horizontal="left" vertical="top" wrapText="1"/>
      <protection locked="0"/>
    </xf>
    <xf numFmtId="0" fontId="12" fillId="7" borderId="90" xfId="0" applyFont="1" applyFill="1" applyBorder="1" applyAlignment="1" applyProtection="1">
      <alignment horizontal="left" vertical="top" wrapText="1"/>
      <protection locked="0"/>
    </xf>
    <xf numFmtId="0" fontId="12" fillId="7" borderId="91" xfId="0" applyFont="1" applyFill="1" applyBorder="1" applyAlignment="1" applyProtection="1">
      <alignment horizontal="left" vertical="top" wrapText="1"/>
      <protection locked="0"/>
    </xf>
    <xf numFmtId="0" fontId="12" fillId="7" borderId="92" xfId="0" applyFont="1" applyFill="1" applyBorder="1" applyAlignment="1" applyProtection="1">
      <alignment horizontal="left" vertical="top" wrapText="1"/>
      <protection locked="0"/>
    </xf>
    <xf numFmtId="0" fontId="32" fillId="0" borderId="30" xfId="0" applyFont="1" applyBorder="1" applyAlignment="1">
      <alignment horizontal="center" wrapText="1"/>
    </xf>
    <xf numFmtId="0" fontId="32" fillId="0" borderId="31" xfId="0" applyFont="1" applyBorder="1" applyAlignment="1">
      <alignment horizontal="center" wrapText="1"/>
    </xf>
    <xf numFmtId="0" fontId="32" fillId="0" borderId="32" xfId="0" applyFont="1" applyBorder="1" applyAlignment="1">
      <alignment horizontal="center" wrapText="1"/>
    </xf>
    <xf numFmtId="0" fontId="0" fillId="0" borderId="30" xfId="0" applyBorder="1" applyAlignment="1">
      <alignment horizontal="center"/>
    </xf>
    <xf numFmtId="0" fontId="0" fillId="0" borderId="31" xfId="0" applyBorder="1" applyAlignment="1">
      <alignment horizontal="center"/>
    </xf>
    <xf numFmtId="0" fontId="0" fillId="0" borderId="23" xfId="0" applyBorder="1" applyAlignment="1">
      <alignment horizontal="center"/>
    </xf>
    <xf numFmtId="0" fontId="0" fillId="0" borderId="21" xfId="0" applyBorder="1" applyAlignment="1">
      <alignment horizontal="center"/>
    </xf>
    <xf numFmtId="49" fontId="2" fillId="15" borderId="30" xfId="0" applyNumberFormat="1" applyFont="1" applyFill="1" applyBorder="1" applyAlignment="1">
      <alignment horizontal="left"/>
    </xf>
    <xf numFmtId="49" fontId="2" fillId="15" borderId="32" xfId="0" applyNumberFormat="1" applyFont="1" applyFill="1" applyBorder="1" applyAlignment="1">
      <alignment horizontal="left"/>
    </xf>
    <xf numFmtId="0" fontId="6" fillId="0" borderId="40" xfId="0" applyFont="1" applyBorder="1" applyAlignment="1">
      <alignment horizontal="center"/>
    </xf>
    <xf numFmtId="0" fontId="6" fillId="0" borderId="47" xfId="0" applyFont="1" applyBorder="1" applyAlignment="1">
      <alignment horizontal="center"/>
    </xf>
    <xf numFmtId="0" fontId="6" fillId="0" borderId="42" xfId="0" applyFont="1" applyBorder="1" applyAlignment="1">
      <alignment horizontal="center"/>
    </xf>
    <xf numFmtId="0" fontId="28" fillId="7" borderId="40" xfId="0" applyFont="1" applyFill="1" applyBorder="1" applyAlignment="1" applyProtection="1">
      <alignment horizontal="left"/>
      <protection locked="0"/>
    </xf>
    <xf numFmtId="0" fontId="28" fillId="7" borderId="47" xfId="0" applyFont="1" applyFill="1" applyBorder="1" applyAlignment="1" applyProtection="1">
      <alignment horizontal="left"/>
      <protection locked="0"/>
    </xf>
    <xf numFmtId="0" fontId="28" fillId="7" borderId="42" xfId="0" applyFont="1" applyFill="1" applyBorder="1" applyAlignment="1" applyProtection="1">
      <alignment horizontal="left"/>
      <protection locked="0"/>
    </xf>
    <xf numFmtId="0" fontId="28" fillId="7" borderId="44" xfId="0" applyFont="1" applyFill="1" applyBorder="1" applyAlignment="1" applyProtection="1">
      <alignment horizontal="left"/>
      <protection locked="0"/>
    </xf>
    <xf numFmtId="0" fontId="28" fillId="7" borderId="45" xfId="0" applyFont="1" applyFill="1" applyBorder="1" applyAlignment="1" applyProtection="1">
      <alignment horizontal="left"/>
      <protection locked="0"/>
    </xf>
    <xf numFmtId="0" fontId="28" fillId="7" borderId="46" xfId="0" applyFont="1" applyFill="1" applyBorder="1" applyAlignment="1" applyProtection="1">
      <alignment horizontal="left"/>
      <protection locked="0"/>
    </xf>
    <xf numFmtId="49" fontId="33" fillId="7" borderId="40" xfId="0" applyNumberFormat="1" applyFont="1" applyFill="1" applyBorder="1" applyAlignment="1" applyProtection="1">
      <alignment horizontal="left"/>
      <protection locked="0"/>
    </xf>
    <xf numFmtId="49" fontId="33" fillId="7" borderId="42" xfId="0" applyNumberFormat="1" applyFont="1" applyFill="1" applyBorder="1" applyAlignment="1" applyProtection="1">
      <alignment horizontal="left"/>
      <protection locked="0"/>
    </xf>
    <xf numFmtId="49" fontId="33" fillId="7" borderId="44" xfId="0" applyNumberFormat="1" applyFont="1" applyFill="1" applyBorder="1" applyAlignment="1" applyProtection="1">
      <alignment horizontal="left"/>
      <protection locked="0"/>
    </xf>
    <xf numFmtId="49" fontId="33" fillId="7" borderId="46" xfId="0" applyNumberFormat="1" applyFont="1" applyFill="1" applyBorder="1" applyAlignment="1" applyProtection="1">
      <alignment horizontal="left"/>
      <protection locked="0"/>
    </xf>
    <xf numFmtId="0" fontId="32" fillId="7" borderId="40" xfId="0" applyFont="1" applyFill="1" applyBorder="1" applyAlignment="1" applyProtection="1">
      <alignment horizontal="center"/>
      <protection locked="0"/>
    </xf>
    <xf numFmtId="0" fontId="32" fillId="7" borderId="47" xfId="0" applyFont="1" applyFill="1" applyBorder="1" applyAlignment="1" applyProtection="1">
      <alignment horizontal="center"/>
      <protection locked="0"/>
    </xf>
    <xf numFmtId="0" fontId="32" fillId="7" borderId="42" xfId="0" applyFont="1" applyFill="1" applyBorder="1" applyAlignment="1" applyProtection="1">
      <alignment horizontal="center"/>
      <protection locked="0"/>
    </xf>
    <xf numFmtId="0" fontId="32" fillId="7" borderId="44" xfId="0" applyFont="1" applyFill="1" applyBorder="1" applyAlignment="1" applyProtection="1">
      <alignment horizontal="center"/>
      <protection locked="0"/>
    </xf>
    <xf numFmtId="0" fontId="32" fillId="7" borderId="45" xfId="0" applyFont="1" applyFill="1" applyBorder="1" applyAlignment="1" applyProtection="1">
      <alignment horizontal="center"/>
      <protection locked="0"/>
    </xf>
    <xf numFmtId="0" fontId="32" fillId="7" borderId="46" xfId="0" applyFont="1" applyFill="1" applyBorder="1" applyAlignment="1" applyProtection="1">
      <alignment horizontal="center"/>
      <protection locked="0"/>
    </xf>
    <xf numFmtId="0" fontId="15" fillId="0" borderId="0" xfId="0" applyFont="1" applyAlignment="1">
      <alignment horizontal="center"/>
    </xf>
    <xf numFmtId="0" fontId="31" fillId="7" borderId="40" xfId="0" applyFont="1" applyFill="1" applyBorder="1" applyAlignment="1" applyProtection="1">
      <alignment horizontal="left"/>
      <protection locked="0"/>
    </xf>
    <xf numFmtId="0" fontId="31" fillId="7" borderId="47" xfId="0" applyFont="1" applyFill="1" applyBorder="1" applyAlignment="1" applyProtection="1">
      <alignment horizontal="left"/>
      <protection locked="0"/>
    </xf>
    <xf numFmtId="0" fontId="31" fillId="7" borderId="42" xfId="0" applyFont="1" applyFill="1" applyBorder="1" applyAlignment="1" applyProtection="1">
      <alignment horizontal="left"/>
      <protection locked="0"/>
    </xf>
    <xf numFmtId="0" fontId="31" fillId="7" borderId="44" xfId="0" applyFont="1" applyFill="1" applyBorder="1" applyAlignment="1" applyProtection="1">
      <alignment horizontal="left"/>
      <protection locked="0"/>
    </xf>
    <xf numFmtId="0" fontId="31" fillId="7" borderId="45" xfId="0" applyFont="1" applyFill="1" applyBorder="1" applyAlignment="1" applyProtection="1">
      <alignment horizontal="left"/>
      <protection locked="0"/>
    </xf>
    <xf numFmtId="0" fontId="31" fillId="7" borderId="46" xfId="0" applyFont="1" applyFill="1" applyBorder="1" applyAlignment="1" applyProtection="1">
      <alignment horizontal="left"/>
      <protection locked="0"/>
    </xf>
    <xf numFmtId="49" fontId="34" fillId="7" borderId="40" xfId="0" applyNumberFormat="1" applyFont="1" applyFill="1" applyBorder="1" applyAlignment="1" applyProtection="1">
      <alignment horizontal="left"/>
      <protection locked="0"/>
    </xf>
    <xf numFmtId="49" fontId="34" fillId="7" borderId="42" xfId="0" applyNumberFormat="1" applyFont="1" applyFill="1" applyBorder="1" applyAlignment="1" applyProtection="1">
      <alignment horizontal="left"/>
      <protection locked="0"/>
    </xf>
    <xf numFmtId="49" fontId="34" fillId="7" borderId="44" xfId="0" applyNumberFormat="1" applyFont="1" applyFill="1" applyBorder="1" applyAlignment="1" applyProtection="1">
      <alignment horizontal="left"/>
      <protection locked="0"/>
    </xf>
    <xf numFmtId="49" fontId="34" fillId="7" borderId="46" xfId="0" applyNumberFormat="1" applyFont="1" applyFill="1" applyBorder="1" applyAlignment="1" applyProtection="1">
      <alignment horizontal="left"/>
      <protection locked="0"/>
    </xf>
    <xf numFmtId="0" fontId="12" fillId="7" borderId="0" xfId="0" applyFont="1" applyFill="1" applyAlignment="1" applyProtection="1">
      <alignment horizontal="left" vertical="top" wrapText="1"/>
      <protection locked="0"/>
    </xf>
    <xf numFmtId="0" fontId="32" fillId="7" borderId="40" xfId="0" applyFont="1" applyFill="1" applyBorder="1" applyAlignment="1" applyProtection="1">
      <alignment horizontal="left"/>
      <protection locked="0"/>
    </xf>
    <xf numFmtId="0" fontId="32" fillId="7" borderId="47" xfId="0" applyFont="1" applyFill="1" applyBorder="1" applyAlignment="1" applyProtection="1">
      <alignment horizontal="left"/>
      <protection locked="0"/>
    </xf>
    <xf numFmtId="0" fontId="32" fillId="7" borderId="42" xfId="0" applyFont="1" applyFill="1" applyBorder="1" applyAlignment="1" applyProtection="1">
      <alignment horizontal="left"/>
      <protection locked="0"/>
    </xf>
    <xf numFmtId="0" fontId="32" fillId="7" borderId="44" xfId="0" applyFont="1" applyFill="1" applyBorder="1" applyAlignment="1" applyProtection="1">
      <alignment horizontal="left"/>
      <protection locked="0"/>
    </xf>
    <xf numFmtId="0" fontId="32" fillId="7" borderId="45" xfId="0" applyFont="1" applyFill="1" applyBorder="1" applyAlignment="1" applyProtection="1">
      <alignment horizontal="left"/>
      <protection locked="0"/>
    </xf>
    <xf numFmtId="0" fontId="32" fillId="7" borderId="46" xfId="0" applyFont="1" applyFill="1" applyBorder="1" applyAlignment="1" applyProtection="1">
      <alignment horizontal="left"/>
      <protection locked="0"/>
    </xf>
    <xf numFmtId="49" fontId="2" fillId="15" borderId="30" xfId="0" applyNumberFormat="1" applyFont="1" applyFill="1" applyBorder="1" applyAlignment="1">
      <alignment horizontal="left" wrapText="1"/>
    </xf>
    <xf numFmtId="49" fontId="2" fillId="15" borderId="31" xfId="0" applyNumberFormat="1" applyFont="1" applyFill="1" applyBorder="1" applyAlignment="1">
      <alignment horizontal="left" wrapText="1"/>
    </xf>
    <xf numFmtId="49" fontId="31" fillId="7" borderId="40" xfId="0" applyNumberFormat="1" applyFont="1" applyFill="1" applyBorder="1" applyAlignment="1" applyProtection="1">
      <alignment horizontal="left"/>
      <protection locked="0"/>
    </xf>
    <xf numFmtId="49" fontId="31" fillId="7" borderId="42" xfId="0" applyNumberFormat="1" applyFont="1" applyFill="1" applyBorder="1" applyAlignment="1" applyProtection="1">
      <alignment horizontal="left"/>
      <protection locked="0"/>
    </xf>
    <xf numFmtId="49" fontId="31" fillId="7" borderId="44" xfId="0" applyNumberFormat="1" applyFont="1" applyFill="1" applyBorder="1" applyAlignment="1" applyProtection="1">
      <alignment horizontal="left"/>
      <protection locked="0"/>
    </xf>
    <xf numFmtId="49" fontId="31" fillId="7" borderId="46" xfId="0" applyNumberFormat="1" applyFont="1" applyFill="1" applyBorder="1" applyAlignment="1" applyProtection="1">
      <alignment horizontal="left"/>
      <protection locked="0"/>
    </xf>
    <xf numFmtId="0" fontId="12" fillId="7" borderId="86" xfId="0" applyFont="1" applyFill="1" applyBorder="1" applyAlignment="1" applyProtection="1">
      <alignment wrapText="1"/>
      <protection locked="0"/>
    </xf>
    <xf numFmtId="0" fontId="12" fillId="7" borderId="87" xfId="0" applyFont="1" applyFill="1" applyBorder="1" applyAlignment="1" applyProtection="1">
      <alignment wrapText="1"/>
      <protection locked="0"/>
    </xf>
    <xf numFmtId="0" fontId="12" fillId="7" borderId="0" xfId="0" applyFont="1" applyFill="1" applyAlignment="1" applyProtection="1">
      <alignment wrapText="1"/>
      <protection locked="0"/>
    </xf>
    <xf numFmtId="0" fontId="12" fillId="7" borderId="89" xfId="0" applyFont="1" applyFill="1" applyBorder="1" applyAlignment="1" applyProtection="1">
      <alignment wrapText="1"/>
      <protection locked="0"/>
    </xf>
    <xf numFmtId="0" fontId="12" fillId="7" borderId="91" xfId="0" applyFont="1" applyFill="1" applyBorder="1" applyAlignment="1" applyProtection="1">
      <alignment wrapText="1"/>
      <protection locked="0"/>
    </xf>
    <xf numFmtId="0" fontId="12" fillId="7" borderId="92" xfId="0" applyFont="1" applyFill="1" applyBorder="1" applyAlignment="1" applyProtection="1">
      <alignment wrapText="1"/>
      <protection locked="0"/>
    </xf>
    <xf numFmtId="0" fontId="0" fillId="5" borderId="0" xfId="0" applyFill="1" applyBorder="1" applyAlignment="1"/>
    <xf numFmtId="0" fontId="20" fillId="5" borderId="45" xfId="0" applyFont="1" applyFill="1" applyBorder="1" applyAlignment="1"/>
    <xf numFmtId="0" fontId="0" fillId="0" borderId="45" xfId="0" applyBorder="1" applyAlignment="1"/>
    <xf numFmtId="0" fontId="18" fillId="5" borderId="0" xfId="2" applyFill="1" applyBorder="1" applyAlignment="1" applyProtection="1"/>
    <xf numFmtId="0" fontId="18" fillId="0" borderId="45" xfId="2" applyBorder="1" applyAlignment="1" applyProtection="1"/>
    <xf numFmtId="0" fontId="0" fillId="5" borderId="0" xfId="0" applyFill="1" applyAlignment="1">
      <alignment vertical="top" wrapText="1"/>
    </xf>
    <xf numFmtId="0" fontId="0" fillId="5" borderId="0" xfId="0" applyFill="1" applyBorder="1" applyAlignment="1">
      <alignment horizontal="left" vertical="top" wrapText="1"/>
    </xf>
    <xf numFmtId="0" fontId="0" fillId="5" borderId="0" xfId="0" applyFill="1" applyBorder="1" applyAlignment="1">
      <alignment horizontal="center" vertical="center" wrapText="1"/>
    </xf>
    <xf numFmtId="0" fontId="26" fillId="5" borderId="0" xfId="0" applyFont="1" applyFill="1" applyAlignment="1">
      <alignment vertical="top" wrapText="1"/>
    </xf>
    <xf numFmtId="0" fontId="8" fillId="5" borderId="0" xfId="0" applyFont="1" applyFill="1" applyAlignment="1">
      <alignment vertical="top" wrapText="1"/>
    </xf>
    <xf numFmtId="0" fontId="29" fillId="0" borderId="0" xfId="0" applyNumberFormat="1" applyFont="1" applyAlignment="1">
      <alignment horizontal="left" wrapText="1"/>
    </xf>
    <xf numFmtId="0" fontId="0" fillId="0" borderId="0" xfId="0" applyAlignment="1"/>
    <xf numFmtId="0" fontId="0" fillId="0" borderId="0" xfId="0" applyBorder="1" applyAlignment="1">
      <alignment vertical="top" wrapText="1"/>
    </xf>
    <xf numFmtId="0" fontId="0" fillId="0" borderId="0" xfId="0" applyAlignment="1">
      <alignment vertical="top" wrapText="1"/>
    </xf>
    <xf numFmtId="0" fontId="2" fillId="5" borderId="0" xfId="0" applyFont="1" applyFill="1" applyAlignment="1">
      <alignment horizontal="left" vertical="top" wrapText="1"/>
    </xf>
    <xf numFmtId="0" fontId="2" fillId="5" borderId="0" xfId="0" applyFont="1" applyFill="1" applyBorder="1" applyAlignment="1">
      <alignment vertical="top" wrapText="1"/>
    </xf>
    <xf numFmtId="0" fontId="0" fillId="5" borderId="0" xfId="0" applyFill="1" applyBorder="1" applyAlignment="1">
      <alignment vertical="top" wrapText="1"/>
    </xf>
    <xf numFmtId="0" fontId="0" fillId="5" borderId="0" xfId="0" applyFill="1"/>
    <xf numFmtId="0" fontId="0" fillId="5" borderId="0" xfId="0" applyFill="1" applyAlignment="1">
      <alignment vertical="top"/>
    </xf>
    <xf numFmtId="0" fontId="0" fillId="5" borderId="0" xfId="0" applyFill="1" applyAlignment="1"/>
    <xf numFmtId="0" fontId="25" fillId="5" borderId="0" xfId="2" applyFont="1" applyFill="1" applyAlignment="1" applyProtection="1">
      <alignment vertical="top" wrapText="1"/>
    </xf>
    <xf numFmtId="0" fontId="0" fillId="0" borderId="0" xfId="0" applyBorder="1" applyAlignment="1">
      <alignment wrapText="1"/>
    </xf>
    <xf numFmtId="0" fontId="18" fillId="5" borderId="0" xfId="2" applyFont="1" applyFill="1" applyAlignment="1" applyProtection="1">
      <alignment vertical="top" wrapText="1"/>
    </xf>
    <xf numFmtId="0" fontId="21" fillId="5" borderId="0" xfId="2" applyFont="1" applyFill="1" applyBorder="1" applyAlignment="1" applyProtection="1"/>
    <xf numFmtId="0" fontId="12" fillId="5" borderId="0" xfId="0" applyFont="1" applyFill="1" applyBorder="1" applyAlignment="1">
      <alignment horizontal="left" vertical="top" wrapText="1"/>
    </xf>
    <xf numFmtId="0" fontId="0" fillId="0" borderId="0" xfId="0" applyAlignment="1">
      <alignment wrapText="1"/>
    </xf>
    <xf numFmtId="0" fontId="23" fillId="5" borderId="0" xfId="2" applyFont="1" applyFill="1" applyBorder="1" applyAlignment="1" applyProtection="1">
      <alignment horizontal="left" vertical="center"/>
    </xf>
    <xf numFmtId="0" fontId="0" fillId="0" borderId="0" xfId="0" applyBorder="1" applyAlignment="1"/>
    <xf numFmtId="0" fontId="25" fillId="5" borderId="0" xfId="2" applyFont="1" applyFill="1" applyBorder="1" applyAlignment="1" applyProtection="1">
      <alignment vertical="top" wrapText="1"/>
    </xf>
    <xf numFmtId="0" fontId="0" fillId="0" borderId="83" xfId="0" applyBorder="1" applyAlignment="1">
      <alignment horizontal="center"/>
    </xf>
    <xf numFmtId="0" fontId="0" fillId="0" borderId="85" xfId="0" applyBorder="1" applyAlignment="1">
      <alignment horizontal="center"/>
    </xf>
    <xf numFmtId="0" fontId="0" fillId="0" borderId="84" xfId="0" applyBorder="1" applyAlignment="1">
      <alignment horizontal="center"/>
    </xf>
    <xf numFmtId="49" fontId="24" fillId="0" borderId="0" xfId="0" applyNumberFormat="1" applyFont="1" applyAlignment="1">
      <alignment horizontal="left" wrapText="1"/>
    </xf>
    <xf numFmtId="0" fontId="18" fillId="0" borderId="0" xfId="2" applyAlignment="1" applyProtection="1">
      <alignment horizontal="left" vertical="top" wrapText="1"/>
    </xf>
    <xf numFmtId="0" fontId="18" fillId="0" borderId="0" xfId="2" applyAlignment="1" applyProtection="1">
      <alignment horizontal="left"/>
    </xf>
    <xf numFmtId="0" fontId="0" fillId="0" borderId="0" xfId="0" applyAlignment="1">
      <alignment horizontal="left"/>
    </xf>
    <xf numFmtId="0" fontId="39" fillId="0" borderId="102" xfId="0" applyFont="1" applyBorder="1" applyAlignment="1">
      <alignment horizontal="center" vertical="center" wrapText="1"/>
    </xf>
    <xf numFmtId="0" fontId="39" fillId="0" borderId="99" xfId="0" applyFont="1" applyBorder="1" applyAlignment="1">
      <alignment horizontal="center" vertical="center" wrapText="1"/>
    </xf>
  </cellXfs>
  <cellStyles count="95">
    <cellStyle name="Comma" xfId="1" builtinId="3"/>
    <cellStyle name="Currency" xfId="49" builtinId="4"/>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Hyperlink" xfId="2" builtinId="8"/>
    <cellStyle name="Normal" xfId="0" builtinId="0"/>
  </cellStyles>
  <dxfs count="3">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4.xml.rels><?xml version="1.0" encoding="UTF-8" standalone="yes"?>
<Relationships xmlns="http://schemas.openxmlformats.org/package/2006/relationships"><Relationship Id="rId2" Type="http://schemas.openxmlformats.org/officeDocument/2006/relationships/hyperlink" Target="#GenlInstr!E6"/><Relationship Id="rId1" Type="http://schemas.openxmlformats.org/officeDocument/2006/relationships/hyperlink" Target="#GenlInstr!A19:A30"/></Relationships>
</file>

<file path=xl/drawings/drawing1.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136" name="AutoShape 33"/>
        <xdr:cNvSpPr>
          <a:spLocks/>
        </xdr:cNvSpPr>
      </xdr:nvSpPr>
      <xdr:spPr bwMode="auto">
        <a:xfrm>
          <a:off x="1320800" y="36322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059" name="WordArt 35"/>
        <xdr:cNvSpPr>
          <a:spLocks noChangeArrowheads="1" noChangeShapeType="1" noTextEdit="1"/>
        </xdr:cNvSpPr>
      </xdr:nvSpPr>
      <xdr:spPr bwMode="auto">
        <a:xfrm>
          <a:off x="866775" y="3962400"/>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138" name="AutoShape 37"/>
        <xdr:cNvSpPr>
          <a:spLocks/>
        </xdr:cNvSpPr>
      </xdr:nvSpPr>
      <xdr:spPr bwMode="auto">
        <a:xfrm>
          <a:off x="3543300" y="5143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139" name="AutoShape 40"/>
        <xdr:cNvSpPr>
          <a:spLocks noChangeArrowheads="1"/>
        </xdr:cNvSpPr>
      </xdr:nvSpPr>
      <xdr:spPr bwMode="auto">
        <a:xfrm>
          <a:off x="3733800" y="5232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292100</xdr:colOff>
      <xdr:row>24</xdr:row>
      <xdr:rowOff>63500</xdr:rowOff>
    </xdr:from>
    <xdr:to>
      <xdr:col>5</xdr:col>
      <xdr:colOff>508000</xdr:colOff>
      <xdr:row>27</xdr:row>
      <xdr:rowOff>152400</xdr:rowOff>
    </xdr:to>
    <xdr:sp macro="" textlink="">
      <xdr:nvSpPr>
        <xdr:cNvPr id="17477" name="AutoShape 8"/>
        <xdr:cNvSpPr>
          <a:spLocks/>
        </xdr:cNvSpPr>
      </xdr:nvSpPr>
      <xdr:spPr bwMode="auto">
        <a:xfrm>
          <a:off x="1308100" y="3505200"/>
          <a:ext cx="215900" cy="622300"/>
        </a:xfrm>
        <a:prstGeom prst="leftBrace">
          <a:avLst>
            <a:gd name="adj1" fmla="val 2402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596900</xdr:colOff>
      <xdr:row>25</xdr:row>
      <xdr:rowOff>76200</xdr:rowOff>
    </xdr:from>
    <xdr:to>
      <xdr:col>5</xdr:col>
      <xdr:colOff>213213</xdr:colOff>
      <xdr:row>27</xdr:row>
      <xdr:rowOff>28575</xdr:rowOff>
    </xdr:to>
    <xdr:sp macro="" textlink="">
      <xdr:nvSpPr>
        <xdr:cNvPr id="17418" name="WordArt 10"/>
        <xdr:cNvSpPr>
          <a:spLocks noChangeArrowheads="1" noChangeShapeType="1" noTextEdit="1"/>
        </xdr:cNvSpPr>
      </xdr:nvSpPr>
      <xdr:spPr bwMode="auto">
        <a:xfrm>
          <a:off x="84772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7479" name="AutoShape 12"/>
        <xdr:cNvSpPr>
          <a:spLocks/>
        </xdr:cNvSpPr>
      </xdr:nvSpPr>
      <xdr:spPr bwMode="auto">
        <a:xfrm>
          <a:off x="3556000" y="5016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7480" name="AutoShape 13"/>
        <xdr:cNvSpPr>
          <a:spLocks noChangeArrowheads="1"/>
        </xdr:cNvSpPr>
      </xdr:nvSpPr>
      <xdr:spPr bwMode="auto">
        <a:xfrm>
          <a:off x="3746500" y="5105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8490" name="AutoShape 8"/>
        <xdr:cNvSpPr>
          <a:spLocks/>
        </xdr:cNvSpPr>
      </xdr:nvSpPr>
      <xdr:spPr bwMode="auto">
        <a:xfrm>
          <a:off x="1320800" y="35179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8442" name="WordArt 10"/>
        <xdr:cNvSpPr>
          <a:spLocks noChangeArrowheads="1" noChangeShapeType="1" noTextEdit="1"/>
        </xdr:cNvSpPr>
      </xdr:nvSpPr>
      <xdr:spPr bwMode="auto">
        <a:xfrm>
          <a:off x="86677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273050</xdr:colOff>
      <xdr:row>0</xdr:row>
      <xdr:rowOff>342900</xdr:rowOff>
    </xdr:from>
    <xdr:to>
      <xdr:col>5</xdr:col>
      <xdr:colOff>2657722</xdr:colOff>
      <xdr:row>1</xdr:row>
      <xdr:rowOff>180975</xdr:rowOff>
    </xdr:to>
    <xdr:sp macro="" textlink="">
      <xdr:nvSpPr>
        <xdr:cNvPr id="13313" name="WordArt 1"/>
        <xdr:cNvSpPr>
          <a:spLocks noChangeArrowheads="1" noChangeShapeType="1" noTextEdit="1"/>
        </xdr:cNvSpPr>
      </xdr:nvSpPr>
      <xdr:spPr bwMode="auto">
        <a:xfrm>
          <a:off x="247650" y="342900"/>
          <a:ext cx="8448675" cy="466725"/>
        </a:xfrm>
        <a:prstGeom prst="rect">
          <a:avLst/>
        </a:prstGeom>
        <a:extLst/>
      </xdr:spPr>
      <xdr:txBody>
        <a:bodyPr wrap="none" fromWordArt="1">
          <a:prstTxWarp prst="textPlain">
            <a:avLst>
              <a:gd name="adj" fmla="val 50000"/>
            </a:avLst>
          </a:prstTxWarp>
        </a:bodyPr>
        <a:lstStyle/>
        <a:p>
          <a:pPr algn="dist" rtl="0">
            <a:buNone/>
          </a:pPr>
          <a:r>
            <a:rPr lang="en-US" sz="1200" b="1" kern="10" spc="0">
              <a:ln w="9525">
                <a:solidFill>
                  <a:srgbClr val="000000"/>
                </a:solidFill>
                <a:round/>
                <a:headEnd/>
                <a:tailEnd/>
              </a:ln>
              <a:solidFill>
                <a:srgbClr val="008080"/>
              </a:solidFill>
              <a:effectLst/>
              <a:latin typeface="Century Schoolbook"/>
            </a:rPr>
            <a:t>SALARY CALCULATIONS for COMPENSATION PLAN FACULTY </a:t>
          </a:r>
        </a:p>
        <a:p>
          <a:pPr algn="dist" rtl="0">
            <a:buNone/>
          </a:pPr>
          <a:endParaRPr lang="en-US" sz="1200" b="1" kern="10" spc="0">
            <a:ln w="9525">
              <a:solidFill>
                <a:srgbClr val="000000"/>
              </a:solidFill>
              <a:round/>
              <a:headEnd/>
              <a:tailEnd/>
            </a:ln>
            <a:solidFill>
              <a:srgbClr val="008080"/>
            </a:solidFill>
            <a:effectLst/>
            <a:latin typeface="Century Schoolbook"/>
          </a:endParaRPr>
        </a:p>
      </xdr:txBody>
    </xdr:sp>
    <xdr:clientData/>
  </xdr:twoCellAnchor>
  <xdr:twoCellAnchor>
    <xdr:from>
      <xdr:col>2</xdr:col>
      <xdr:colOff>234950</xdr:colOff>
      <xdr:row>2</xdr:row>
      <xdr:rowOff>95250</xdr:rowOff>
    </xdr:from>
    <xdr:to>
      <xdr:col>3</xdr:col>
      <xdr:colOff>2647950</xdr:colOff>
      <xdr:row>2</xdr:row>
      <xdr:rowOff>238125</xdr:rowOff>
    </xdr:to>
    <xdr:sp macro="" textlink="">
      <xdr:nvSpPr>
        <xdr:cNvPr id="13314" name="WordArt 2"/>
        <xdr:cNvSpPr>
          <a:spLocks noChangeArrowheads="1" noChangeShapeType="1" noTextEdit="1"/>
        </xdr:cNvSpPr>
      </xdr:nvSpPr>
      <xdr:spPr bwMode="auto">
        <a:xfrm>
          <a:off x="3171825" y="1295400"/>
          <a:ext cx="25527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Comments and Instructions</a:t>
          </a:r>
        </a:p>
      </xdr:txBody>
    </xdr:sp>
    <xdr:clientData/>
  </xdr:twoCellAnchor>
  <xdr:twoCellAnchor>
    <xdr:from>
      <xdr:col>4</xdr:col>
      <xdr:colOff>333375</xdr:colOff>
      <xdr:row>2</xdr:row>
      <xdr:rowOff>133350</xdr:rowOff>
    </xdr:from>
    <xdr:to>
      <xdr:col>5</xdr:col>
      <xdr:colOff>1565275</xdr:colOff>
      <xdr:row>2</xdr:row>
      <xdr:rowOff>276225</xdr:rowOff>
    </xdr:to>
    <xdr:sp macro="" textlink="">
      <xdr:nvSpPr>
        <xdr:cNvPr id="13315" name="WordArt 3"/>
        <xdr:cNvSpPr>
          <a:spLocks noChangeArrowheads="1" noChangeShapeType="1" noTextEdit="1"/>
        </xdr:cNvSpPr>
      </xdr:nvSpPr>
      <xdr:spPr bwMode="auto">
        <a:xfrm>
          <a:off x="6219825" y="1333500"/>
          <a:ext cx="14859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How to Navigate</a:t>
          </a:r>
        </a:p>
      </xdr:txBody>
    </xdr:sp>
    <xdr:clientData/>
  </xdr:twoCellAnchor>
  <xdr:twoCellAnchor>
    <xdr:from>
      <xdr:col>0</xdr:col>
      <xdr:colOff>215900</xdr:colOff>
      <xdr:row>2</xdr:row>
      <xdr:rowOff>104775</xdr:rowOff>
    </xdr:from>
    <xdr:to>
      <xdr:col>1</xdr:col>
      <xdr:colOff>2501900</xdr:colOff>
      <xdr:row>2</xdr:row>
      <xdr:rowOff>238125</xdr:rowOff>
    </xdr:to>
    <xdr:sp macro="" textlink="">
      <xdr:nvSpPr>
        <xdr:cNvPr id="13316" name="WordArt 4"/>
        <xdr:cNvSpPr>
          <a:spLocks noChangeArrowheads="1" noChangeShapeType="1" noTextEdit="1"/>
        </xdr:cNvSpPr>
      </xdr:nvSpPr>
      <xdr:spPr bwMode="auto">
        <a:xfrm>
          <a:off x="190500" y="1304925"/>
          <a:ext cx="2438400" cy="133350"/>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Where to Enter Information</a:t>
          </a:r>
        </a:p>
      </xdr:txBody>
    </xdr:sp>
    <xdr:clientData/>
  </xdr:twoCellAnchor>
  <xdr:twoCellAnchor>
    <xdr:from>
      <xdr:col>0</xdr:col>
      <xdr:colOff>215900</xdr:colOff>
      <xdr:row>8</xdr:row>
      <xdr:rowOff>190500</xdr:rowOff>
    </xdr:from>
    <xdr:to>
      <xdr:col>1</xdr:col>
      <xdr:colOff>2215612</xdr:colOff>
      <xdr:row>8</xdr:row>
      <xdr:rowOff>314325</xdr:rowOff>
    </xdr:to>
    <xdr:sp macro="" textlink="">
      <xdr:nvSpPr>
        <xdr:cNvPr id="13317" name="WordArt 5"/>
        <xdr:cNvSpPr>
          <a:spLocks noChangeArrowheads="1" noChangeShapeType="1" noTextEdit="1"/>
        </xdr:cNvSpPr>
      </xdr:nvSpPr>
      <xdr:spPr bwMode="auto">
        <a:xfrm>
          <a:off x="190500" y="3762375"/>
          <a:ext cx="2190750" cy="12382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General Instructions:</a:t>
          </a:r>
        </a:p>
      </xdr:txBody>
    </xdr:sp>
    <xdr:clientData/>
  </xdr:twoCellAnchor>
  <xdr:twoCellAnchor>
    <xdr:from>
      <xdr:col>4</xdr:col>
      <xdr:colOff>234950</xdr:colOff>
      <xdr:row>3</xdr:row>
      <xdr:rowOff>1495425</xdr:rowOff>
    </xdr:from>
    <xdr:to>
      <xdr:col>6</xdr:col>
      <xdr:colOff>57150</xdr:colOff>
      <xdr:row>6</xdr:row>
      <xdr:rowOff>28575</xdr:rowOff>
    </xdr:to>
    <xdr:sp macro="" textlink="">
      <xdr:nvSpPr>
        <xdr:cNvPr id="13318" name="WordArt 6">
          <a:hlinkClick xmlns:r="http://schemas.openxmlformats.org/officeDocument/2006/relationships" r:id="rId1"/>
        </xdr:cNvPr>
        <xdr:cNvSpPr>
          <a:spLocks noChangeArrowheads="1" noChangeShapeType="1" noTextEdit="1"/>
        </xdr:cNvSpPr>
      </xdr:nvSpPr>
      <xdr:spPr bwMode="auto">
        <a:xfrm>
          <a:off x="6134100" y="3076575"/>
          <a:ext cx="2809875" cy="228600"/>
        </a:xfrm>
        <a:prstGeom prst="rect">
          <a:avLst/>
        </a:prstGeom>
        <a:extLst/>
      </xdr:spPr>
      <xdr:txBody>
        <a:bodyPr wrap="none" fromWordArt="1">
          <a:prstTxWarp prst="textPlain">
            <a:avLst>
              <a:gd name="adj" fmla="val 50000"/>
            </a:avLst>
          </a:prstTxWarp>
        </a:bodyPr>
        <a:lstStyle/>
        <a:p>
          <a:pPr algn="ctr" rtl="0">
            <a:buNone/>
          </a:pPr>
          <a:r>
            <a:rPr lang="en-US" sz="800" kern="10" spc="0">
              <a:ln w="9525">
                <a:solidFill>
                  <a:srgbClr val="000000"/>
                </a:solidFill>
                <a:round/>
                <a:headEnd/>
                <a:tailEnd/>
              </a:ln>
              <a:solidFill>
                <a:srgbClr val="FF0000"/>
              </a:solidFill>
              <a:effectLst/>
              <a:latin typeface="Arial Black"/>
            </a:rPr>
            <a:t>Link To: Important Rules to Remember</a:t>
          </a:r>
        </a:p>
      </xdr:txBody>
    </xdr:sp>
    <xdr:clientData/>
  </xdr:twoCellAnchor>
  <xdr:twoCellAnchor>
    <xdr:from>
      <xdr:col>1</xdr:col>
      <xdr:colOff>1057275</xdr:colOff>
      <xdr:row>18</xdr:row>
      <xdr:rowOff>238125</xdr:rowOff>
    </xdr:from>
    <xdr:to>
      <xdr:col>3</xdr:col>
      <xdr:colOff>1863627</xdr:colOff>
      <xdr:row>18</xdr:row>
      <xdr:rowOff>504825</xdr:rowOff>
    </xdr:to>
    <xdr:sp macro="" textlink="">
      <xdr:nvSpPr>
        <xdr:cNvPr id="13321" name="WordArt 9">
          <a:hlinkClick xmlns:r="http://schemas.openxmlformats.org/officeDocument/2006/relationships" r:id="rId2"/>
        </xdr:cNvPr>
        <xdr:cNvSpPr>
          <a:spLocks noChangeArrowheads="1" noChangeShapeType="1" noTextEdit="1"/>
        </xdr:cNvSpPr>
      </xdr:nvSpPr>
      <xdr:spPr bwMode="auto">
        <a:xfrm>
          <a:off x="1323975" y="14735175"/>
          <a:ext cx="3705225" cy="26670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Important Rules to Remember</a:t>
          </a:r>
        </a:p>
      </xdr:txBody>
    </xdr:sp>
    <xdr:clientData/>
  </xdr:twoCellAnchor>
  <xdr:twoCellAnchor>
    <xdr:from>
      <xdr:col>0</xdr:col>
      <xdr:colOff>9525</xdr:colOff>
      <xdr:row>21</xdr:row>
      <xdr:rowOff>152400</xdr:rowOff>
    </xdr:from>
    <xdr:to>
      <xdr:col>1</xdr:col>
      <xdr:colOff>1819867</xdr:colOff>
      <xdr:row>21</xdr:row>
      <xdr:rowOff>333375</xdr:rowOff>
    </xdr:to>
    <xdr:sp macro="" textlink="">
      <xdr:nvSpPr>
        <xdr:cNvPr id="13322" name="WordArt 10"/>
        <xdr:cNvSpPr>
          <a:spLocks noChangeArrowheads="1" noChangeShapeType="1" noTextEdit="1"/>
        </xdr:cNvSpPr>
      </xdr:nvSpPr>
      <xdr:spPr bwMode="auto">
        <a:xfrm>
          <a:off x="9525" y="16259175"/>
          <a:ext cx="2000250" cy="18097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199XX Funds</a:t>
          </a:r>
        </a:p>
      </xdr:txBody>
    </xdr:sp>
    <xdr:clientData/>
  </xdr:twoCellAnchor>
  <xdr:twoCellAnchor>
    <xdr:from>
      <xdr:col>0</xdr:col>
      <xdr:colOff>88900</xdr:colOff>
      <xdr:row>29</xdr:row>
      <xdr:rowOff>0</xdr:rowOff>
    </xdr:from>
    <xdr:to>
      <xdr:col>3</xdr:col>
      <xdr:colOff>889000</xdr:colOff>
      <xdr:row>29</xdr:row>
      <xdr:rowOff>0</xdr:rowOff>
    </xdr:to>
    <xdr:sp macro="" textlink="">
      <xdr:nvSpPr>
        <xdr:cNvPr id="13323" name="WordArt 11"/>
        <xdr:cNvSpPr>
          <a:spLocks noChangeArrowheads="1" noChangeShapeType="1" noTextEdit="1"/>
        </xdr:cNvSpPr>
      </xdr:nvSpPr>
      <xdr:spPr bwMode="auto">
        <a:xfrm>
          <a:off x="76200" y="19850100"/>
          <a:ext cx="4067175" cy="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The Compensation Plans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333375</xdr:colOff>
      <xdr:row>0</xdr:row>
      <xdr:rowOff>352425</xdr:rowOff>
    </xdr:from>
    <xdr:to>
      <xdr:col>5</xdr:col>
      <xdr:colOff>2841455</xdr:colOff>
      <xdr:row>0</xdr:row>
      <xdr:rowOff>581025</xdr:rowOff>
    </xdr:to>
    <xdr:sp macro="" textlink="">
      <xdr:nvSpPr>
        <xdr:cNvPr id="14338" name="WordArt 2"/>
        <xdr:cNvSpPr>
          <a:spLocks noChangeArrowheads="1" noChangeShapeType="1" noTextEdit="1"/>
        </xdr:cNvSpPr>
      </xdr:nvSpPr>
      <xdr:spPr bwMode="auto">
        <a:xfrm>
          <a:off x="676275" y="352425"/>
          <a:ext cx="8191500" cy="22860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OFF-SCALE SALARY CALCULATIONS for COMPENSATION PLAN FACULTY</a:t>
          </a:r>
        </a:p>
      </xdr:txBody>
    </xdr:sp>
    <xdr:clientData/>
  </xdr:twoCellAnchor>
  <xdr:twoCellAnchor>
    <xdr:from>
      <xdr:col>0</xdr:col>
      <xdr:colOff>342900</xdr:colOff>
      <xdr:row>3</xdr:row>
      <xdr:rowOff>314325</xdr:rowOff>
    </xdr:from>
    <xdr:to>
      <xdr:col>5</xdr:col>
      <xdr:colOff>527039</xdr:colOff>
      <xdr:row>4</xdr:row>
      <xdr:rowOff>0</xdr:rowOff>
    </xdr:to>
    <xdr:sp macro="" textlink="">
      <xdr:nvSpPr>
        <xdr:cNvPr id="14339" name="WordArt 3"/>
        <xdr:cNvSpPr>
          <a:spLocks noChangeArrowheads="1" noChangeShapeType="1" noTextEdit="1"/>
        </xdr:cNvSpPr>
      </xdr:nvSpPr>
      <xdr:spPr bwMode="auto">
        <a:xfrm>
          <a:off x="304800" y="2609850"/>
          <a:ext cx="6477000" cy="190500"/>
        </a:xfrm>
        <a:prstGeom prst="rect">
          <a:avLst/>
        </a:prstGeom>
        <a:extLst/>
      </xdr:spPr>
      <xdr:txBody>
        <a:bodyPr wrap="none" fromWordArt="1">
          <a:prstTxWarp prst="textPlain">
            <a:avLst>
              <a:gd name="adj" fmla="val 50000"/>
            </a:avLst>
          </a:prstTxWarp>
        </a:bodyPr>
        <a:lstStyle/>
        <a:p>
          <a:pPr algn="ctr" rtl="0">
            <a:buNone/>
          </a:pPr>
          <a:r>
            <a:rPr lang="en-US" sz="1400" b="1" kern="10" spc="0">
              <a:ln w="9525">
                <a:solidFill>
                  <a:srgbClr val="000000"/>
                </a:solidFill>
                <a:round/>
                <a:headEnd/>
                <a:tailEnd/>
              </a:ln>
              <a:solidFill>
                <a:srgbClr val="008080"/>
              </a:solidFill>
              <a:effectLst/>
              <a:latin typeface="Century Schoolbook"/>
            </a:rPr>
            <a:t>Additional Notes Regarding Off-Scale Base Salaries:</a:t>
          </a:r>
        </a:p>
      </xdr:txBody>
    </xdr:sp>
    <xdr:clientData/>
  </xdr:twoCellAnchor>
  <xdr:twoCellAnchor>
    <xdr:from>
      <xdr:col>1</xdr:col>
      <xdr:colOff>19050</xdr:colOff>
      <xdr:row>4</xdr:row>
      <xdr:rowOff>123825</xdr:rowOff>
    </xdr:from>
    <xdr:to>
      <xdr:col>3</xdr:col>
      <xdr:colOff>2286268</xdr:colOff>
      <xdr:row>4</xdr:row>
      <xdr:rowOff>342900</xdr:rowOff>
    </xdr:to>
    <xdr:sp macro="" textlink="">
      <xdr:nvSpPr>
        <xdr:cNvPr id="14340" name="WordArt 4"/>
        <xdr:cNvSpPr>
          <a:spLocks noChangeArrowheads="1" noChangeShapeType="1" noTextEdit="1"/>
        </xdr:cNvSpPr>
      </xdr:nvSpPr>
      <xdr:spPr bwMode="auto">
        <a:xfrm>
          <a:off x="400050" y="2924175"/>
          <a:ext cx="5000625" cy="219075"/>
        </a:xfrm>
        <a:prstGeom prst="rect">
          <a:avLst/>
        </a:prstGeom>
        <a:extLst/>
      </xdr:spPr>
      <xdr:txBody>
        <a:bodyPr wrap="none" fromWordArt="1">
          <a:prstTxWarp prst="textPlain">
            <a:avLst>
              <a:gd name="adj" fmla="val 50000"/>
            </a:avLst>
          </a:prstTxWarp>
        </a:bodyPr>
        <a:lstStyle/>
        <a:p>
          <a:pPr algn="ctr" rtl="0">
            <a:buNone/>
          </a:pPr>
          <a:r>
            <a:rPr lang="en-US" sz="900" b="1" kern="10" spc="0">
              <a:ln w="9525">
                <a:solidFill>
                  <a:srgbClr val="000000"/>
                </a:solidFill>
                <a:round/>
                <a:headEnd/>
                <a:tailEnd/>
              </a:ln>
              <a:solidFill>
                <a:srgbClr val="008080"/>
              </a:solidFill>
              <a:effectLst/>
              <a:latin typeface="Century Schoolbook"/>
            </a:rPr>
            <a:t>(See APM Section 620 for Complete Academic Policy)</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38100</xdr:colOff>
      <xdr:row>5</xdr:row>
      <xdr:rowOff>152400</xdr:rowOff>
    </xdr:from>
    <xdr:to>
      <xdr:col>4</xdr:col>
      <xdr:colOff>88900</xdr:colOff>
      <xdr:row>6</xdr:row>
      <xdr:rowOff>285750</xdr:rowOff>
    </xdr:to>
    <xdr:sp macro="" textlink="">
      <xdr:nvSpPr>
        <xdr:cNvPr id="15361" name="WordArt 1"/>
        <xdr:cNvSpPr>
          <a:spLocks noChangeArrowheads="1" noChangeShapeType="1" noTextEdit="1"/>
        </xdr:cNvSpPr>
      </xdr:nvSpPr>
      <xdr:spPr bwMode="auto">
        <a:xfrm>
          <a:off x="419100" y="2152650"/>
          <a:ext cx="5581650" cy="381000"/>
        </a:xfrm>
        <a:prstGeom prst="rect">
          <a:avLst/>
        </a:prstGeom>
        <a:extLst/>
      </xdr:spPr>
      <xdr:txBody>
        <a:bodyPr wrap="none" fromWordArt="1">
          <a:prstTxWarp prst="textPlain">
            <a:avLst>
              <a:gd name="adj" fmla="val 50000"/>
            </a:avLst>
          </a:prstTxWarp>
        </a:bodyPr>
        <a:lstStyle/>
        <a:p>
          <a:pPr algn="ctr" rtl="0">
            <a:buNone/>
          </a:pPr>
          <a:r>
            <a:rPr lang="en-US" sz="1000" b="1" kern="10" spc="0">
              <a:ln w="9525">
                <a:solidFill>
                  <a:srgbClr val="000000"/>
                </a:solidFill>
                <a:round/>
                <a:headEnd/>
                <a:tailEnd/>
              </a:ln>
              <a:solidFill>
                <a:srgbClr val="008080"/>
              </a:solidFill>
              <a:effectLst/>
              <a:latin typeface="Century Schoolbook"/>
            </a:rPr>
            <a:t>Additional Notes Regarding Above Scale Base Salaries:</a:t>
          </a:r>
        </a:p>
        <a:p>
          <a:pPr algn="ctr" rtl="0">
            <a:buNone/>
          </a:pPr>
          <a:endParaRPr lang="en-US" sz="1000" b="1" kern="10" spc="0">
            <a:ln w="9525">
              <a:solidFill>
                <a:srgbClr val="000000"/>
              </a:solidFill>
              <a:round/>
              <a:headEnd/>
              <a:tailEnd/>
            </a:ln>
            <a:solidFill>
              <a:srgbClr val="008080"/>
            </a:solidFill>
            <a:effectLst/>
            <a:latin typeface="Century Schoolbook"/>
          </a:endParaRPr>
        </a:p>
      </xdr:txBody>
    </xdr:sp>
    <xdr:clientData/>
  </xdr:twoCellAnchor>
  <xdr:twoCellAnchor>
    <xdr:from>
      <xdr:col>1</xdr:col>
      <xdr:colOff>85725</xdr:colOff>
      <xdr:row>0</xdr:row>
      <xdr:rowOff>342900</xdr:rowOff>
    </xdr:from>
    <xdr:to>
      <xdr:col>5</xdr:col>
      <xdr:colOff>2431964</xdr:colOff>
      <xdr:row>0</xdr:row>
      <xdr:rowOff>590550</xdr:rowOff>
    </xdr:to>
    <xdr:sp macro="" textlink="">
      <xdr:nvSpPr>
        <xdr:cNvPr id="15362" name="WordArt 2"/>
        <xdr:cNvSpPr>
          <a:spLocks noChangeArrowheads="1" noChangeShapeType="1" noTextEdit="1"/>
        </xdr:cNvSpPr>
      </xdr:nvSpPr>
      <xdr:spPr bwMode="auto">
        <a:xfrm>
          <a:off x="466725" y="342900"/>
          <a:ext cx="8029575" cy="24765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ABOVE  SCALE SALARY CALCULATIONS FOR COMPENSATION PLAN FACULTY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8" Type="http://schemas.openxmlformats.org/officeDocument/2006/relationships/hyperlink" Target="http://grants.nih.gov/grants/guide/notice-files/NOT-OD-12-035.html" TargetMode="External"/><Relationship Id="rId13" Type="http://schemas.openxmlformats.org/officeDocument/2006/relationships/hyperlink" Target="mailto:susan.lin@ucsf.edu" TargetMode="External"/><Relationship Id="rId3"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12" Type="http://schemas.openxmlformats.org/officeDocument/2006/relationships/hyperlink" Target="http://grants.nih.gov/grants/guide/notice-files/NOT-OD-12-035.html" TargetMode="External"/><Relationship Id="rId2" Type="http://schemas.openxmlformats.org/officeDocument/2006/relationships/hyperlink" Target="http://report.nih.gov/FileLink.aspx?rid=824" TargetMode="External"/><Relationship Id="rId1"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11" Type="http://schemas.openxmlformats.org/officeDocument/2006/relationships/hyperlink" Target="http://grants.nih.gov/grants/guide/notice-files/NOT-OD-12-035.html" TargetMode="External"/><Relationship Id="rId5" Type="http://schemas.openxmlformats.org/officeDocument/2006/relationships/hyperlink" Target="http://report.nih.gov/FileLink.aspx?rid=824" TargetMode="External"/><Relationship Id="rId10" Type="http://schemas.openxmlformats.org/officeDocument/2006/relationships/hyperlink" Target="http://grants.nih.gov/grants/guide/notice-files/NOT-OD-12-035.html" TargetMode="External"/><Relationship Id="rId4" Type="http://schemas.openxmlformats.org/officeDocument/2006/relationships/hyperlink" Target="http://report.nih.gov/FileLink.aspx?rid=824" TargetMode="External"/><Relationship Id="rId9" Type="http://schemas.openxmlformats.org/officeDocument/2006/relationships/hyperlink" Target="http://grants.nih.gov/grants/guide/notice-files/NOT-OD-12-035.html" TargetMode="External"/><Relationship Id="rId14" Type="http://schemas.openxmlformats.org/officeDocument/2006/relationships/hyperlink" Target="mailto:john.radkowski@ucsf.edu"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enableFormatConditionsCalculation="0">
    <pageSetUpPr fitToPage="1"/>
  </sheetPr>
  <dimension ref="A1:AM102"/>
  <sheetViews>
    <sheetView showGridLines="0" showZeros="0" tabSelected="1" workbookViewId="0">
      <selection activeCell="G9" sqref="G9:J10"/>
    </sheetView>
  </sheetViews>
  <sheetFormatPr defaultColWidth="8.85546875" defaultRowHeight="12.75" x14ac:dyDescent="0.2"/>
  <cols>
    <col min="1" max="1" width="4.7109375" style="46" customWidth="1"/>
    <col min="2" max="4" width="10.85546875" style="46" customWidth="1"/>
    <col min="5" max="7" width="10.85546875" customWidth="1"/>
    <col min="8" max="8" width="14.7109375" customWidth="1"/>
    <col min="9" max="9" width="9" customWidth="1"/>
    <col min="10" max="10" width="9.28515625" customWidth="1"/>
    <col min="11" max="11" width="13.42578125" customWidth="1"/>
    <col min="12" max="12" width="8.28515625" bestFit="1" customWidth="1"/>
    <col min="13" max="13" width="9.42578125" customWidth="1"/>
    <col min="14" max="14" width="8.7109375" customWidth="1"/>
    <col min="16" max="16" width="9" customWidth="1"/>
    <col min="17" max="17" width="11" customWidth="1"/>
    <col min="18" max="18" width="2.140625" customWidth="1"/>
    <col min="19" max="19" width="16.85546875" customWidth="1"/>
    <col min="20" max="20" width="15.7109375" customWidth="1"/>
    <col min="21" max="21" width="14.85546875" customWidth="1"/>
    <col min="22" max="22" width="20" customWidth="1"/>
    <col min="23" max="23" width="13.85546875" customWidth="1"/>
    <col min="24" max="24" width="10" customWidth="1"/>
    <col min="25" max="25" width="9.85546875" customWidth="1"/>
    <col min="26" max="26" width="20.28515625" customWidth="1"/>
    <col min="27" max="27" width="19" customWidth="1"/>
    <col min="28" max="28" width="9.140625" hidden="1" customWidth="1"/>
    <col min="29" max="29" width="8.28515625" hidden="1" customWidth="1"/>
    <col min="30" max="30" width="10.42578125" hidden="1" customWidth="1"/>
    <col min="31" max="32" width="10.28515625" hidden="1" customWidth="1"/>
    <col min="33" max="33" width="9" hidden="1" customWidth="1"/>
    <col min="34" max="34" width="9.140625" hidden="1" customWidth="1"/>
    <col min="35" max="35" width="8.85546875" hidden="1" customWidth="1"/>
    <col min="36" max="40" width="8.85546875" customWidth="1"/>
  </cols>
  <sheetData>
    <row r="1" spans="1:34" ht="29.1" customHeight="1" thickBot="1" x14ac:dyDescent="0.55000000000000004">
      <c r="A1" s="590" t="s">
        <v>175</v>
      </c>
      <c r="B1" s="232"/>
      <c r="C1" s="232"/>
      <c r="D1" s="232"/>
      <c r="F1" s="233"/>
      <c r="G1" s="233"/>
      <c r="H1" s="450"/>
      <c r="I1" s="233"/>
      <c r="J1" s="233"/>
      <c r="K1" s="233"/>
      <c r="L1" s="233"/>
      <c r="M1" s="233"/>
      <c r="N1" s="233"/>
      <c r="O1" s="233"/>
      <c r="P1" s="233"/>
      <c r="Q1" s="233"/>
      <c r="R1" s="54"/>
      <c r="S1" s="234"/>
      <c r="T1" s="234"/>
      <c r="U1" s="638"/>
      <c r="V1" s="638"/>
      <c r="W1" s="638"/>
      <c r="X1" s="638"/>
      <c r="Y1" s="638"/>
      <c r="Z1" s="638"/>
    </row>
    <row r="2" spans="1:34" ht="26.25" customHeight="1" thickBot="1" x14ac:dyDescent="0.4">
      <c r="A2" s="571"/>
      <c r="B2" s="611" t="s">
        <v>219</v>
      </c>
      <c r="C2" s="571"/>
      <c r="D2" s="571"/>
      <c r="E2" s="572"/>
      <c r="F2" s="572"/>
      <c r="G2" s="640"/>
      <c r="H2" s="640"/>
      <c r="I2" s="640"/>
      <c r="J2" s="640"/>
      <c r="K2" s="640"/>
      <c r="L2" s="640"/>
      <c r="M2" s="640"/>
      <c r="N2" s="640"/>
      <c r="O2" s="640"/>
      <c r="P2" s="639" t="s">
        <v>221</v>
      </c>
      <c r="Q2" s="639"/>
      <c r="R2" s="639"/>
      <c r="S2" s="639"/>
      <c r="U2" s="659" t="s">
        <v>195</v>
      </c>
      <c r="V2" s="660"/>
      <c r="W2" s="660"/>
      <c r="X2" s="660"/>
      <c r="Y2" s="660"/>
      <c r="Z2" s="661"/>
    </row>
    <row r="3" spans="1:34" ht="12.75" customHeight="1" thickTop="1" thickBot="1" x14ac:dyDescent="0.25">
      <c r="A3" s="147"/>
      <c r="B3" s="495"/>
      <c r="C3" s="495"/>
      <c r="D3" s="495"/>
      <c r="E3" s="35"/>
      <c r="F3" s="35"/>
      <c r="G3" s="35"/>
      <c r="H3" s="35"/>
      <c r="I3" s="35"/>
      <c r="J3" s="35"/>
      <c r="K3" s="35"/>
      <c r="L3" s="35"/>
      <c r="M3" s="35"/>
      <c r="N3" s="35"/>
      <c r="O3" s="35"/>
      <c r="P3" s="35"/>
      <c r="Q3" s="35"/>
      <c r="R3" s="35"/>
      <c r="S3" s="49"/>
      <c r="T3" s="34"/>
      <c r="U3" s="662"/>
      <c r="V3" s="663"/>
      <c r="W3" s="664"/>
      <c r="X3" s="664"/>
      <c r="Y3" s="664"/>
      <c r="Z3" s="665"/>
    </row>
    <row r="4" spans="1:34" ht="12.95" customHeight="1" thickBot="1" x14ac:dyDescent="0.25">
      <c r="A4" s="63"/>
      <c r="B4" s="30"/>
      <c r="C4" s="30"/>
      <c r="D4" s="30"/>
      <c r="E4" s="205" t="s">
        <v>123</v>
      </c>
      <c r="F4" s="72"/>
      <c r="G4" s="72"/>
      <c r="H4" s="34"/>
      <c r="I4" s="34"/>
      <c r="J4" s="34"/>
      <c r="K4" s="34"/>
      <c r="L4" s="34"/>
      <c r="M4" s="34"/>
      <c r="N4" s="34"/>
      <c r="O4" s="254" t="s">
        <v>80</v>
      </c>
      <c r="P4" s="254"/>
      <c r="Q4" s="359" t="s">
        <v>118</v>
      </c>
      <c r="R4" s="355"/>
      <c r="S4" s="357" t="s">
        <v>117</v>
      </c>
      <c r="T4" s="560"/>
      <c r="U4" s="666" t="s">
        <v>203</v>
      </c>
      <c r="V4" s="667"/>
      <c r="W4" s="578" t="s">
        <v>197</v>
      </c>
      <c r="X4" s="579" t="s">
        <v>40</v>
      </c>
      <c r="Y4" s="580" t="s">
        <v>198</v>
      </c>
      <c r="Z4" s="581"/>
    </row>
    <row r="5" spans="1:34" ht="12.95" customHeight="1" thickBot="1" x14ac:dyDescent="0.25">
      <c r="A5" s="63"/>
      <c r="B5" s="30"/>
      <c r="C5" s="30"/>
      <c r="D5" s="30"/>
      <c r="E5" s="205"/>
      <c r="K5" s="34"/>
      <c r="L5" s="34"/>
      <c r="M5" s="34"/>
      <c r="N5" s="34"/>
      <c r="O5" s="135"/>
      <c r="P5" s="360"/>
      <c r="Q5" s="87"/>
      <c r="R5" s="34"/>
      <c r="S5" s="358"/>
      <c r="T5" s="621" t="s">
        <v>216</v>
      </c>
      <c r="U5" s="512" t="s">
        <v>187</v>
      </c>
      <c r="V5" s="513" t="s">
        <v>188</v>
      </c>
      <c r="W5" s="547" t="s">
        <v>189</v>
      </c>
      <c r="X5" s="222" t="s">
        <v>193</v>
      </c>
      <c r="Y5" s="222" t="s">
        <v>194</v>
      </c>
      <c r="Z5" s="576" t="s">
        <v>196</v>
      </c>
    </row>
    <row r="6" spans="1:34" ht="12.95" customHeight="1" x14ac:dyDescent="0.2">
      <c r="A6" s="63"/>
      <c r="B6" s="30"/>
      <c r="C6" s="30"/>
      <c r="D6" s="30"/>
      <c r="E6" s="30"/>
      <c r="K6" s="153"/>
      <c r="L6" s="52"/>
      <c r="O6" s="385"/>
      <c r="P6" s="360"/>
      <c r="Q6" s="87"/>
      <c r="R6" s="34"/>
      <c r="S6" s="386"/>
      <c r="T6" s="585"/>
      <c r="U6" s="585"/>
      <c r="V6" s="586"/>
      <c r="W6" s="603"/>
      <c r="X6" s="586"/>
      <c r="Y6" s="603"/>
      <c r="Z6" s="587" t="s">
        <v>40</v>
      </c>
    </row>
    <row r="7" spans="1:34" ht="12.95" customHeight="1" x14ac:dyDescent="0.2">
      <c r="A7" s="63"/>
      <c r="B7" s="30"/>
      <c r="C7" s="30"/>
      <c r="D7" s="30"/>
      <c r="E7" s="30"/>
      <c r="G7" s="677"/>
      <c r="H7" s="678"/>
      <c r="K7" s="153"/>
      <c r="L7" s="52"/>
      <c r="M7" s="34"/>
      <c r="N7" s="34"/>
      <c r="O7" s="385" t="s">
        <v>124</v>
      </c>
      <c r="P7" s="360">
        <v>12</v>
      </c>
      <c r="Q7" s="87">
        <v>180100</v>
      </c>
      <c r="R7" s="34"/>
      <c r="S7" s="386">
        <f t="shared" ref="S7:S19" si="0">Q7/12</f>
        <v>15008.333333333334</v>
      </c>
      <c r="T7" s="585"/>
      <c r="U7" s="585"/>
      <c r="V7" s="586"/>
      <c r="W7" s="603"/>
      <c r="X7" s="586"/>
      <c r="Y7" s="603"/>
      <c r="Z7" s="587" t="s">
        <v>40</v>
      </c>
      <c r="AB7" s="34"/>
      <c r="AD7" s="109" t="s">
        <v>30</v>
      </c>
      <c r="AG7" s="109" t="s">
        <v>39</v>
      </c>
      <c r="AH7" s="126">
        <f>SUM(AF36:AH36)</f>
        <v>0</v>
      </c>
    </row>
    <row r="8" spans="1:34" ht="12.95" customHeight="1" x14ac:dyDescent="0.2">
      <c r="A8" s="63"/>
      <c r="B8" s="30"/>
      <c r="C8" s="30"/>
      <c r="D8" s="30"/>
      <c r="E8" s="30"/>
      <c r="F8" s="326" t="s">
        <v>112</v>
      </c>
      <c r="G8" s="679"/>
      <c r="H8" s="680"/>
      <c r="I8" s="327" t="s">
        <v>80</v>
      </c>
      <c r="K8" s="153"/>
      <c r="L8" s="52"/>
      <c r="M8" s="34"/>
      <c r="N8" s="34"/>
      <c r="O8" s="385" t="s">
        <v>125</v>
      </c>
      <c r="P8" s="360">
        <v>13</v>
      </c>
      <c r="Q8" s="87">
        <v>183500</v>
      </c>
      <c r="R8" s="34"/>
      <c r="S8" s="386">
        <f t="shared" si="0"/>
        <v>15291.666666666666</v>
      </c>
      <c r="T8" s="585"/>
      <c r="U8" s="585"/>
      <c r="V8" s="586"/>
      <c r="W8" s="603"/>
      <c r="X8" s="586"/>
      <c r="Y8" s="603"/>
      <c r="Z8" s="587" t="s">
        <v>40</v>
      </c>
      <c r="AB8" s="34"/>
      <c r="AD8" s="109"/>
      <c r="AG8" s="109"/>
      <c r="AH8" s="126"/>
    </row>
    <row r="9" spans="1:34" ht="12.95" customHeight="1" x14ac:dyDescent="0.2">
      <c r="A9" s="63"/>
      <c r="B9" s="30"/>
      <c r="C9" s="30"/>
      <c r="D9" s="30"/>
      <c r="E9" s="30"/>
      <c r="G9" s="671"/>
      <c r="H9" s="672"/>
      <c r="I9" s="672"/>
      <c r="J9" s="673"/>
      <c r="K9" s="153"/>
      <c r="L9" s="52"/>
      <c r="M9" s="34"/>
      <c r="N9" s="34"/>
      <c r="O9" s="385" t="s">
        <v>127</v>
      </c>
      <c r="P9" s="360">
        <v>14</v>
      </c>
      <c r="Q9" s="87">
        <v>186600</v>
      </c>
      <c r="R9" s="34"/>
      <c r="S9" s="386">
        <f t="shared" si="0"/>
        <v>15550</v>
      </c>
      <c r="T9" s="585"/>
      <c r="U9" s="585"/>
      <c r="V9" s="586"/>
      <c r="W9" s="603"/>
      <c r="X9" s="586"/>
      <c r="Y9" s="603"/>
      <c r="Z9" s="587" t="s">
        <v>40</v>
      </c>
      <c r="AB9" s="34"/>
      <c r="AD9" s="109"/>
      <c r="AG9" s="109"/>
      <c r="AH9" s="126"/>
    </row>
    <row r="10" spans="1:34" ht="12.95" customHeight="1" x14ac:dyDescent="0.2">
      <c r="A10" s="63"/>
      <c r="B10" s="30"/>
      <c r="C10" s="30"/>
      <c r="D10" s="30"/>
      <c r="E10" s="30"/>
      <c r="F10" s="135" t="s">
        <v>44</v>
      </c>
      <c r="G10" s="674"/>
      <c r="H10" s="675"/>
      <c r="I10" s="675"/>
      <c r="J10" s="676"/>
      <c r="K10" s="153"/>
      <c r="L10" s="52"/>
      <c r="M10" s="34"/>
      <c r="N10" s="34"/>
      <c r="O10" s="326" t="s">
        <v>133</v>
      </c>
      <c r="P10" s="360">
        <v>15</v>
      </c>
      <c r="Q10" s="87">
        <v>200000</v>
      </c>
      <c r="R10" s="34"/>
      <c r="S10" s="386">
        <f t="shared" si="0"/>
        <v>16666.666666666668</v>
      </c>
      <c r="T10" s="585"/>
      <c r="U10" s="585"/>
      <c r="V10" s="586"/>
      <c r="W10" s="603"/>
      <c r="X10" s="586"/>
      <c r="Y10" s="603"/>
      <c r="Z10" s="587" t="s">
        <v>40</v>
      </c>
      <c r="AB10" s="34"/>
      <c r="AD10" s="109"/>
      <c r="AG10" s="109"/>
      <c r="AH10" s="126"/>
    </row>
    <row r="11" spans="1:34" ht="12.95" customHeight="1" x14ac:dyDescent="0.2">
      <c r="A11" s="63"/>
      <c r="B11" s="30"/>
      <c r="C11" s="30"/>
      <c r="D11" s="30"/>
      <c r="E11" s="30"/>
      <c r="G11" s="671"/>
      <c r="H11" s="672"/>
      <c r="I11" s="672"/>
      <c r="J11" s="673"/>
      <c r="K11" s="153"/>
      <c r="L11" s="52"/>
      <c r="M11" s="34"/>
      <c r="N11" s="34"/>
      <c r="O11" s="326" t="s">
        <v>129</v>
      </c>
      <c r="P11" s="360">
        <v>16</v>
      </c>
      <c r="Q11" s="87">
        <v>191300</v>
      </c>
      <c r="R11" s="34"/>
      <c r="S11" s="386">
        <f t="shared" si="0"/>
        <v>15941.666666666666</v>
      </c>
      <c r="T11" s="585"/>
      <c r="U11" s="585"/>
      <c r="V11" s="586"/>
      <c r="W11" s="603"/>
      <c r="X11" s="586"/>
      <c r="Y11" s="603"/>
      <c r="Z11" s="587" t="s">
        <v>40</v>
      </c>
      <c r="AB11" s="34"/>
      <c r="AD11" s="109"/>
      <c r="AG11" s="109"/>
      <c r="AH11" s="126"/>
    </row>
    <row r="12" spans="1:34" ht="12.95" customHeight="1" thickBot="1" x14ac:dyDescent="0.25">
      <c r="A12" s="63"/>
      <c r="B12" s="30"/>
      <c r="C12" s="30"/>
      <c r="D12" s="30"/>
      <c r="E12" s="30"/>
      <c r="F12" s="135" t="s">
        <v>45</v>
      </c>
      <c r="G12" s="674"/>
      <c r="H12" s="675"/>
      <c r="I12" s="675"/>
      <c r="J12" s="676"/>
      <c r="K12" s="153"/>
      <c r="L12" s="52"/>
      <c r="M12" s="34"/>
      <c r="N12" s="34"/>
      <c r="O12" s="431" t="s">
        <v>128</v>
      </c>
      <c r="P12" s="428">
        <v>17</v>
      </c>
      <c r="Q12" s="429">
        <v>207000</v>
      </c>
      <c r="R12" s="154"/>
      <c r="S12" s="430">
        <f t="shared" si="0"/>
        <v>17250</v>
      </c>
      <c r="T12" s="562"/>
      <c r="U12" s="573"/>
      <c r="V12" s="574"/>
      <c r="W12" s="574"/>
      <c r="X12" s="574"/>
      <c r="Y12" s="574"/>
      <c r="Z12" s="575"/>
      <c r="AB12" s="34"/>
      <c r="AD12" s="109"/>
      <c r="AG12" s="109"/>
      <c r="AH12" s="126"/>
    </row>
    <row r="13" spans="1:34" ht="12.95" customHeight="1" thickBot="1" x14ac:dyDescent="0.25">
      <c r="A13" s="63"/>
      <c r="B13" s="30"/>
      <c r="C13" s="30"/>
      <c r="D13" s="30"/>
      <c r="E13" s="30"/>
      <c r="F13" s="135"/>
      <c r="G13" s="135"/>
      <c r="H13" s="383"/>
      <c r="I13" s="384"/>
      <c r="K13" s="153"/>
      <c r="M13" s="34"/>
      <c r="N13" s="34"/>
      <c r="O13" s="421" t="s">
        <v>144</v>
      </c>
      <c r="P13" s="422">
        <v>18</v>
      </c>
      <c r="Q13" s="423">
        <v>196700</v>
      </c>
      <c r="R13" s="420"/>
      <c r="S13" s="424">
        <f t="shared" si="0"/>
        <v>16391.666666666668</v>
      </c>
      <c r="T13" s="562"/>
      <c r="U13" s="619" t="s">
        <v>199</v>
      </c>
      <c r="V13" s="622"/>
      <c r="W13" s="577" t="s">
        <v>197</v>
      </c>
      <c r="X13" s="588" t="s">
        <v>40</v>
      </c>
      <c r="Y13" s="577" t="s">
        <v>198</v>
      </c>
      <c r="Z13" s="584"/>
      <c r="AB13" s="34"/>
      <c r="AD13" s="109"/>
      <c r="AG13" s="109"/>
      <c r="AH13" s="126"/>
    </row>
    <row r="14" spans="1:34" ht="12.95" customHeight="1" thickBot="1" x14ac:dyDescent="0.25">
      <c r="A14" s="63"/>
      <c r="B14" s="30"/>
      <c r="C14" s="30"/>
      <c r="D14" s="30"/>
      <c r="E14" s="30"/>
      <c r="F14" s="135"/>
      <c r="G14" s="135"/>
      <c r="H14" s="383"/>
      <c r="I14" s="384"/>
      <c r="K14" s="153"/>
      <c r="M14" s="34"/>
      <c r="N14" s="34"/>
      <c r="O14" s="427" t="s">
        <v>145</v>
      </c>
      <c r="P14" s="428">
        <v>19</v>
      </c>
      <c r="Q14" s="429">
        <v>199700</v>
      </c>
      <c r="R14" s="154"/>
      <c r="S14" s="430">
        <f t="shared" si="0"/>
        <v>16641.666666666668</v>
      </c>
      <c r="T14" s="621" t="s">
        <v>216</v>
      </c>
      <c r="U14" s="512" t="s">
        <v>187</v>
      </c>
      <c r="V14" s="513" t="s">
        <v>188</v>
      </c>
      <c r="W14" s="514" t="s">
        <v>189</v>
      </c>
      <c r="X14" s="513" t="s">
        <v>193</v>
      </c>
      <c r="Y14" s="513" t="s">
        <v>194</v>
      </c>
      <c r="Z14" s="582" t="s">
        <v>196</v>
      </c>
      <c r="AB14" s="34"/>
      <c r="AD14" s="109"/>
      <c r="AG14" s="109"/>
      <c r="AH14" s="126"/>
    </row>
    <row r="15" spans="1:34" ht="12.95" customHeight="1" x14ac:dyDescent="0.2">
      <c r="A15" s="63"/>
      <c r="B15" s="30"/>
      <c r="C15" s="30"/>
      <c r="D15" s="30"/>
      <c r="E15" s="30"/>
      <c r="F15" s="135"/>
      <c r="G15" s="135"/>
      <c r="H15" s="383"/>
      <c r="I15" s="384"/>
      <c r="K15" s="153"/>
      <c r="L15" s="312"/>
      <c r="M15" s="154"/>
      <c r="N15" s="154"/>
      <c r="O15" s="427" t="s">
        <v>205</v>
      </c>
      <c r="P15" s="428">
        <v>20</v>
      </c>
      <c r="Q15" s="429">
        <v>179700</v>
      </c>
      <c r="R15" s="154"/>
      <c r="S15" s="430">
        <f t="shared" si="0"/>
        <v>14975</v>
      </c>
      <c r="T15" s="585"/>
      <c r="U15" s="585"/>
      <c r="V15" s="586"/>
      <c r="W15" s="603"/>
      <c r="X15" s="586"/>
      <c r="Y15" s="603"/>
      <c r="Z15" s="587"/>
      <c r="AB15" s="34"/>
      <c r="AD15" s="109"/>
      <c r="AG15" s="109"/>
      <c r="AH15" s="126"/>
    </row>
    <row r="16" spans="1:34" ht="12.95" customHeight="1" x14ac:dyDescent="0.2">
      <c r="A16" s="63"/>
      <c r="B16" s="30"/>
      <c r="C16" s="30"/>
      <c r="D16" s="30"/>
      <c r="E16" s="30"/>
      <c r="F16" s="135"/>
      <c r="G16" s="135"/>
      <c r="H16" s="383"/>
      <c r="I16" s="384"/>
      <c r="K16" s="153"/>
      <c r="L16" s="419"/>
      <c r="M16" s="420"/>
      <c r="N16" s="420"/>
      <c r="O16" s="427" t="s">
        <v>176</v>
      </c>
      <c r="P16" s="428">
        <v>21</v>
      </c>
      <c r="Q16" s="429">
        <v>221000</v>
      </c>
      <c r="R16" s="154"/>
      <c r="S16" s="430">
        <f t="shared" si="0"/>
        <v>18416.666666666668</v>
      </c>
      <c r="T16" s="585"/>
      <c r="U16" s="585"/>
      <c r="V16" s="586"/>
      <c r="W16" s="603"/>
      <c r="X16" s="586"/>
      <c r="Y16" s="603"/>
      <c r="Z16" s="587"/>
      <c r="AB16" s="34"/>
      <c r="AD16" s="109"/>
      <c r="AG16" s="109"/>
      <c r="AH16" s="126"/>
    </row>
    <row r="17" spans="1:34" ht="12.95" customHeight="1" x14ac:dyDescent="0.2">
      <c r="A17" s="63"/>
      <c r="B17" s="30"/>
      <c r="C17" s="30"/>
      <c r="D17" s="30"/>
      <c r="E17" s="30"/>
      <c r="F17" s="135"/>
      <c r="G17" s="135"/>
      <c r="H17" s="383"/>
      <c r="I17" s="384"/>
      <c r="K17" s="153"/>
      <c r="L17" s="312"/>
      <c r="M17" s="154"/>
      <c r="N17" s="154"/>
      <c r="O17" s="427" t="s">
        <v>204</v>
      </c>
      <c r="P17" s="428">
        <v>22</v>
      </c>
      <c r="Q17" s="429">
        <v>181500</v>
      </c>
      <c r="R17" s="154"/>
      <c r="S17" s="430">
        <f t="shared" si="0"/>
        <v>15125</v>
      </c>
      <c r="T17" s="585"/>
      <c r="U17" s="585"/>
      <c r="V17" s="586"/>
      <c r="W17" s="603"/>
      <c r="X17" s="586"/>
      <c r="Y17" s="603"/>
      <c r="Z17" s="587"/>
      <c r="AB17" s="34"/>
      <c r="AD17" s="109"/>
      <c r="AG17" s="109"/>
      <c r="AH17" s="126"/>
    </row>
    <row r="18" spans="1:34" ht="12.95" customHeight="1" thickBot="1" x14ac:dyDescent="0.25">
      <c r="A18" s="63"/>
      <c r="B18" s="30"/>
      <c r="C18" s="30"/>
      <c r="D18" s="30"/>
      <c r="E18" s="30"/>
      <c r="F18" s="135"/>
      <c r="G18" s="135"/>
      <c r="H18" s="383"/>
      <c r="I18" s="384"/>
      <c r="K18" s="153"/>
      <c r="L18" s="312"/>
      <c r="M18" s="154"/>
      <c r="N18" s="154"/>
      <c r="O18" s="427" t="s">
        <v>210</v>
      </c>
      <c r="P18" s="428">
        <v>23</v>
      </c>
      <c r="Q18" s="429">
        <v>250000</v>
      </c>
      <c r="R18" s="154"/>
      <c r="S18" s="430">
        <f t="shared" si="0"/>
        <v>20833.333333333332</v>
      </c>
      <c r="T18" s="564"/>
      <c r="U18" s="573"/>
      <c r="V18" s="574"/>
      <c r="W18" s="574"/>
      <c r="X18" s="574"/>
      <c r="Y18" s="574"/>
      <c r="Z18" s="575"/>
      <c r="AB18" s="34"/>
      <c r="AD18" s="109"/>
      <c r="AG18" s="109"/>
      <c r="AH18" s="126"/>
    </row>
    <row r="19" spans="1:34" ht="12.95" customHeight="1" thickBot="1" x14ac:dyDescent="0.25">
      <c r="A19" s="63"/>
      <c r="B19" s="30"/>
      <c r="C19" s="30"/>
      <c r="D19" s="30"/>
      <c r="E19" s="30"/>
      <c r="F19" s="135"/>
      <c r="G19" s="135"/>
      <c r="H19" s="383"/>
      <c r="I19" s="384"/>
      <c r="K19" s="153"/>
      <c r="L19" s="312"/>
      <c r="M19" s="154"/>
      <c r="N19" s="154"/>
      <c r="O19" s="427" t="s">
        <v>209</v>
      </c>
      <c r="P19" s="428">
        <v>24</v>
      </c>
      <c r="Q19" s="429">
        <v>183300</v>
      </c>
      <c r="R19" s="154"/>
      <c r="S19" s="430">
        <f t="shared" si="0"/>
        <v>15275</v>
      </c>
      <c r="T19" s="563"/>
      <c r="U19" s="619" t="s">
        <v>200</v>
      </c>
      <c r="V19" s="622"/>
      <c r="W19" s="577" t="s">
        <v>197</v>
      </c>
      <c r="X19" s="588" t="s">
        <v>40</v>
      </c>
      <c r="Y19" s="577" t="s">
        <v>198</v>
      </c>
      <c r="Z19" s="584"/>
      <c r="AB19" s="34"/>
      <c r="AD19" s="109"/>
      <c r="AG19" s="109"/>
      <c r="AH19" s="126"/>
    </row>
    <row r="20" spans="1:34" ht="12.95" customHeight="1" thickBot="1" x14ac:dyDescent="0.25">
      <c r="A20" s="63"/>
      <c r="B20" s="30"/>
      <c r="C20" s="30"/>
      <c r="D20" s="30"/>
      <c r="E20" s="30"/>
      <c r="F20" s="135"/>
      <c r="G20" s="135"/>
      <c r="H20" s="383"/>
      <c r="I20" s="384"/>
      <c r="K20" s="153"/>
      <c r="L20" s="312"/>
      <c r="M20" s="154"/>
      <c r="N20" s="154"/>
      <c r="O20" s="637" t="s">
        <v>217</v>
      </c>
      <c r="P20" s="428">
        <v>25</v>
      </c>
      <c r="Q20" s="429">
        <v>185100</v>
      </c>
      <c r="R20" s="154"/>
      <c r="S20" s="430">
        <f t="shared" ref="S20" si="1">Q20/12</f>
        <v>15425</v>
      </c>
      <c r="T20" s="621" t="s">
        <v>216</v>
      </c>
      <c r="U20" s="512" t="s">
        <v>187</v>
      </c>
      <c r="V20" s="513" t="s">
        <v>188</v>
      </c>
      <c r="W20" s="514" t="s">
        <v>189</v>
      </c>
      <c r="X20" s="513" t="s">
        <v>193</v>
      </c>
      <c r="Y20" s="513" t="s">
        <v>194</v>
      </c>
      <c r="Z20" s="582" t="s">
        <v>196</v>
      </c>
      <c r="AB20" s="34"/>
      <c r="AD20" s="109"/>
      <c r="AG20" s="109"/>
      <c r="AH20" s="126"/>
    </row>
    <row r="21" spans="1:34" ht="12.95" customHeight="1" x14ac:dyDescent="0.2">
      <c r="A21" s="63"/>
      <c r="B21" s="30"/>
      <c r="C21" s="30"/>
      <c r="D21" s="30"/>
      <c r="E21" s="30"/>
      <c r="F21" s="135"/>
      <c r="G21" s="681"/>
      <c r="H21" s="682"/>
      <c r="I21" s="683"/>
      <c r="K21" s="153"/>
      <c r="L21" s="52"/>
      <c r="M21" s="34"/>
      <c r="N21" s="34"/>
      <c r="O21" s="385"/>
      <c r="P21" s="360"/>
      <c r="Q21" s="87"/>
      <c r="R21" s="34"/>
      <c r="S21" s="386"/>
      <c r="T21" s="585"/>
      <c r="U21" s="627"/>
      <c r="V21" s="628"/>
      <c r="W21" s="623"/>
      <c r="X21" s="628"/>
      <c r="Y21" s="623"/>
      <c r="Z21" s="629"/>
      <c r="AB21" s="34"/>
      <c r="AD21" s="109"/>
      <c r="AG21" s="109"/>
      <c r="AH21" s="126"/>
    </row>
    <row r="22" spans="1:34" ht="12.95" customHeight="1" thickBot="1" x14ac:dyDescent="0.25">
      <c r="A22" s="63"/>
      <c r="B22" s="30"/>
      <c r="C22" s="30"/>
      <c r="D22" s="30"/>
      <c r="E22" s="30"/>
      <c r="F22" s="135" t="s">
        <v>79</v>
      </c>
      <c r="G22" s="684"/>
      <c r="H22" s="685"/>
      <c r="I22" s="686"/>
      <c r="K22" s="154"/>
      <c r="L22" s="34"/>
      <c r="M22" s="34"/>
      <c r="N22" s="34"/>
      <c r="O22" s="71"/>
      <c r="P22" s="135" t="s">
        <v>69</v>
      </c>
      <c r="Q22" s="131" t="str">
        <f>IF(OR(Q33&gt;Fed_Limit,Q34&gt;Fed_Limit,Q35&gt;Fed_Limit,Q36&gt;Fed_Limit),"Yes","No")</f>
        <v>No</v>
      </c>
      <c r="R22" s="131"/>
      <c r="S22" s="79"/>
      <c r="T22" s="585"/>
      <c r="U22" s="630"/>
      <c r="V22" s="620"/>
      <c r="W22" s="605"/>
      <c r="X22" s="620"/>
      <c r="Y22" s="605"/>
      <c r="Z22" s="606"/>
      <c r="AB22" s="131"/>
      <c r="AD22" s="668" t="s">
        <v>36</v>
      </c>
      <c r="AE22" s="670"/>
      <c r="AF22" s="668" t="s">
        <v>34</v>
      </c>
      <c r="AG22" s="669"/>
      <c r="AH22" s="670"/>
    </row>
    <row r="23" spans="1:34" ht="12.95" customHeight="1" thickBot="1" x14ac:dyDescent="0.25">
      <c r="A23" s="148"/>
      <c r="B23" s="496"/>
      <c r="C23" s="496"/>
      <c r="D23" s="496"/>
      <c r="E23" s="36"/>
      <c r="F23" s="36"/>
      <c r="G23" s="36"/>
      <c r="H23" s="36"/>
      <c r="I23" s="36"/>
      <c r="J23" s="36"/>
      <c r="K23" s="36"/>
      <c r="L23" s="36"/>
      <c r="M23" s="36"/>
      <c r="N23" s="36"/>
      <c r="O23" s="36"/>
      <c r="P23" s="36"/>
      <c r="Q23" s="36"/>
      <c r="R23" s="36"/>
      <c r="S23" s="51"/>
      <c r="T23" s="562"/>
      <c r="U23" s="624"/>
      <c r="V23" s="625"/>
      <c r="W23" s="625"/>
      <c r="X23" s="625"/>
      <c r="Y23" s="625"/>
      <c r="Z23" s="626"/>
      <c r="AB23" s="34"/>
      <c r="AD23" s="122"/>
      <c r="AE23" s="102"/>
      <c r="AF23" s="101"/>
      <c r="AG23" s="101"/>
      <c r="AH23" s="102"/>
    </row>
    <row r="24" spans="1:34"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131"/>
      <c r="U24" s="619" t="s">
        <v>215</v>
      </c>
      <c r="V24" s="604"/>
      <c r="W24" s="578" t="s">
        <v>197</v>
      </c>
      <c r="X24" s="589" t="s">
        <v>40</v>
      </c>
      <c r="Y24" s="580" t="s">
        <v>198</v>
      </c>
      <c r="Z24" s="581"/>
      <c r="AB24" s="34"/>
      <c r="AD24" s="122"/>
      <c r="AE24" s="102"/>
      <c r="AF24" s="101"/>
      <c r="AG24" s="101"/>
      <c r="AH24" s="102"/>
    </row>
    <row r="25" spans="1:34" ht="14.25" customHeight="1" thickBot="1" x14ac:dyDescent="0.25">
      <c r="A25" s="63"/>
      <c r="B25" s="30"/>
      <c r="C25" s="30"/>
      <c r="D25" s="30"/>
      <c r="E25" s="401"/>
      <c r="G25" s="55" t="s">
        <v>64</v>
      </c>
      <c r="H25" s="34"/>
      <c r="I25" s="34"/>
      <c r="J25" s="34"/>
      <c r="K25" s="34"/>
      <c r="L25" s="34"/>
      <c r="M25" s="34"/>
      <c r="N25" s="34"/>
      <c r="O25" s="34"/>
      <c r="P25" s="34"/>
      <c r="Q25" s="50"/>
      <c r="R25" s="34"/>
      <c r="S25" s="34"/>
      <c r="T25" s="621" t="s">
        <v>216</v>
      </c>
      <c r="U25" s="631" t="s">
        <v>187</v>
      </c>
      <c r="V25" s="513" t="s">
        <v>188</v>
      </c>
      <c r="W25" s="514" t="s">
        <v>189</v>
      </c>
      <c r="X25" s="513" t="s">
        <v>193</v>
      </c>
      <c r="Y25" s="513" t="s">
        <v>194</v>
      </c>
      <c r="Z25" s="582" t="s">
        <v>196</v>
      </c>
      <c r="AB25" s="34"/>
      <c r="AD25" s="122"/>
      <c r="AE25" s="102"/>
      <c r="AF25" s="101"/>
      <c r="AG25" s="101"/>
      <c r="AH25" s="102"/>
    </row>
    <row r="26" spans="1:34" ht="14.25" customHeight="1" x14ac:dyDescent="0.2">
      <c r="A26" s="63"/>
      <c r="B26" s="30"/>
      <c r="C26" s="30"/>
      <c r="D26" s="30"/>
      <c r="E26" s="34"/>
      <c r="F26" s="55"/>
      <c r="G26" s="55"/>
      <c r="H26" s="390"/>
      <c r="I26" s="315" t="s">
        <v>80</v>
      </c>
      <c r="J26" s="135" t="s">
        <v>0</v>
      </c>
      <c r="K26" s="207">
        <f>IF(ISERROR(IF(H29="",H26/M37,H29)),0,IF(H29="",H26/M37,H29))</f>
        <v>0</v>
      </c>
      <c r="L26" s="34"/>
      <c r="M26" s="34"/>
      <c r="N26" s="134"/>
      <c r="O26" s="34"/>
      <c r="P26" s="34"/>
      <c r="Q26" s="50"/>
      <c r="R26" s="34"/>
      <c r="S26" s="34"/>
      <c r="T26" s="585"/>
      <c r="U26" s="585"/>
      <c r="V26" s="633"/>
      <c r="W26" s="603"/>
      <c r="X26" s="586"/>
      <c r="Y26" s="603"/>
      <c r="Z26" s="587"/>
      <c r="AB26" s="34"/>
      <c r="AD26" s="122"/>
      <c r="AE26" s="102"/>
      <c r="AF26" s="101"/>
      <c r="AG26" s="101"/>
      <c r="AH26" s="102"/>
    </row>
    <row r="27" spans="1:34" ht="14.25" customHeight="1" x14ac:dyDescent="0.2">
      <c r="A27" s="245"/>
      <c r="B27" s="401"/>
      <c r="C27" s="401"/>
      <c r="D27" s="401"/>
      <c r="E27" s="246"/>
      <c r="F27" s="34"/>
      <c r="G27" s="34"/>
      <c r="H27" s="34"/>
      <c r="I27" s="34"/>
      <c r="J27" s="34"/>
      <c r="K27" s="34"/>
      <c r="L27" s="34"/>
      <c r="M27" s="34"/>
      <c r="N27" s="34"/>
      <c r="O27" s="134"/>
      <c r="P27" s="34"/>
      <c r="Q27" s="50"/>
      <c r="R27" s="34"/>
      <c r="S27" s="34"/>
      <c r="T27" s="585"/>
      <c r="U27" s="632"/>
      <c r="V27" s="603"/>
      <c r="W27" s="586"/>
      <c r="X27" s="603"/>
      <c r="Y27" s="603"/>
      <c r="Z27" s="587"/>
      <c r="AB27" s="34"/>
      <c r="AD27" s="122"/>
      <c r="AE27" s="102"/>
      <c r="AF27" s="101"/>
      <c r="AG27" s="101"/>
      <c r="AH27" s="102"/>
    </row>
    <row r="28" spans="1:34" ht="13.5" customHeight="1" x14ac:dyDescent="0.2">
      <c r="A28" s="244"/>
      <c r="B28" s="497"/>
      <c r="C28" s="497"/>
      <c r="D28" s="497"/>
      <c r="E28" s="34"/>
      <c r="G28" s="34" t="s">
        <v>65</v>
      </c>
      <c r="H28" s="34"/>
      <c r="I28" s="34"/>
      <c r="J28" s="34"/>
      <c r="K28" s="34"/>
      <c r="L28" s="34"/>
      <c r="M28" s="34"/>
      <c r="N28" s="34"/>
      <c r="O28" s="34"/>
      <c r="P28" s="34"/>
      <c r="Q28" s="50"/>
      <c r="R28" s="34"/>
      <c r="S28" s="34"/>
      <c r="T28" s="585"/>
      <c r="U28" s="586"/>
      <c r="V28" s="634"/>
      <c r="W28" s="603"/>
      <c r="X28" s="603"/>
      <c r="Y28" s="603"/>
      <c r="Z28" s="587"/>
      <c r="AA28" s="34"/>
      <c r="AB28" s="34"/>
      <c r="AD28" s="122"/>
      <c r="AE28" s="102"/>
      <c r="AF28" s="101"/>
      <c r="AG28" s="101"/>
      <c r="AH28" s="102"/>
    </row>
    <row r="29" spans="1:34" ht="13.5" customHeight="1" x14ac:dyDescent="0.2">
      <c r="A29" s="63"/>
      <c r="B29" s="30"/>
      <c r="C29" s="30"/>
      <c r="D29" s="30"/>
      <c r="E29" s="34"/>
      <c r="F29" s="34"/>
      <c r="G29" s="34"/>
      <c r="H29" s="391"/>
      <c r="I29" s="206"/>
      <c r="J29" s="34" t="s">
        <v>73</v>
      </c>
      <c r="K29" s="236">
        <f>IF(ISERROR(IF(H26="",H29*M37,H26)),0,IF(H26="",H29*M37,H26))</f>
        <v>0</v>
      </c>
      <c r="L29" s="34"/>
      <c r="M29" s="34"/>
      <c r="N29" s="34"/>
      <c r="O29" s="34"/>
      <c r="P29" s="34"/>
      <c r="Q29" s="50"/>
      <c r="R29" s="34"/>
      <c r="S29" s="34"/>
      <c r="T29" s="585"/>
      <c r="U29" s="586"/>
      <c r="V29" s="603"/>
      <c r="W29" s="603"/>
      <c r="X29" s="603"/>
      <c r="Y29" s="603"/>
      <c r="Z29" s="587"/>
      <c r="AA29" s="34"/>
      <c r="AB29" s="34"/>
      <c r="AD29" s="122"/>
      <c r="AE29" s="102"/>
      <c r="AF29" s="101"/>
      <c r="AG29" s="101"/>
      <c r="AH29" s="102"/>
    </row>
    <row r="30" spans="1:34" ht="13.5" thickBot="1" x14ac:dyDescent="0.25">
      <c r="A30" s="148"/>
      <c r="B30" s="496"/>
      <c r="C30" s="496"/>
      <c r="D30" s="496"/>
      <c r="E30" s="210"/>
      <c r="F30" s="210"/>
      <c r="G30" s="210"/>
      <c r="H30" s="235"/>
      <c r="I30" s="36"/>
      <c r="J30" s="36"/>
      <c r="K30" s="36"/>
      <c r="L30" s="36"/>
      <c r="M30" s="36"/>
      <c r="N30" s="36"/>
      <c r="O30" s="36"/>
      <c r="P30" s="36"/>
      <c r="Q30" s="51"/>
      <c r="T30" s="585"/>
      <c r="U30" s="620"/>
      <c r="V30" s="605"/>
      <c r="W30" s="605"/>
      <c r="X30" s="605"/>
      <c r="Y30" s="605"/>
      <c r="Z30" s="606"/>
      <c r="AD30" s="123" t="s">
        <v>32</v>
      </c>
      <c r="AE30" s="103" t="s">
        <v>37</v>
      </c>
      <c r="AF30" s="119" t="s">
        <v>38</v>
      </c>
      <c r="AG30" s="121" t="s">
        <v>35</v>
      </c>
      <c r="AH30" s="120" t="s">
        <v>33</v>
      </c>
    </row>
    <row r="31" spans="1:34" ht="13.5" thickTop="1" x14ac:dyDescent="0.2">
      <c r="A31" s="63"/>
      <c r="B31" s="30"/>
      <c r="C31" s="30"/>
      <c r="D31" s="30"/>
      <c r="E31" s="34"/>
      <c r="G31" s="143" t="s">
        <v>43</v>
      </c>
      <c r="H31" s="392"/>
      <c r="I31" s="250" t="s">
        <v>80</v>
      </c>
      <c r="J31" s="155"/>
      <c r="K31" s="155"/>
      <c r="L31" s="264"/>
      <c r="M31" s="138" t="s">
        <v>42</v>
      </c>
      <c r="N31" s="92"/>
      <c r="O31" s="92"/>
      <c r="P31" s="92"/>
      <c r="Q31" s="139"/>
      <c r="R31" s="85" t="s">
        <v>40</v>
      </c>
      <c r="S31" s="85"/>
      <c r="T31" s="85"/>
      <c r="U31" s="85"/>
      <c r="V31" s="85"/>
      <c r="W31" s="85"/>
      <c r="X31" s="85"/>
      <c r="Y31" s="85"/>
      <c r="Z31" s="85"/>
      <c r="AA31" s="85"/>
      <c r="AB31" s="85"/>
      <c r="AD31" s="112" t="s">
        <v>134</v>
      </c>
      <c r="AE31" s="105">
        <f t="array" ref="AE31">SUM(IF($A$42:$A$65&lt;&gt;"x",$M$42:$M$65,0))</f>
        <v>0</v>
      </c>
      <c r="AF31" s="115">
        <f>AE31*$Q$36</f>
        <v>0</v>
      </c>
      <c r="AG31" s="115">
        <f>AF87*Fed_Limit</f>
        <v>0</v>
      </c>
      <c r="AH31" s="83">
        <f>AG87*12</f>
        <v>0</v>
      </c>
    </row>
    <row r="32" spans="1:34" ht="15" x14ac:dyDescent="0.25">
      <c r="A32" s="63"/>
      <c r="B32" s="30"/>
      <c r="C32" s="30"/>
      <c r="D32" s="30"/>
      <c r="E32" s="34"/>
      <c r="G32" s="135" t="s">
        <v>1</v>
      </c>
      <c r="H32" s="393"/>
      <c r="I32" s="250" t="s">
        <v>80</v>
      </c>
      <c r="K32" s="156"/>
      <c r="L32" s="55"/>
      <c r="M32" s="413" t="s">
        <v>134</v>
      </c>
      <c r="N32" s="56" t="s">
        <v>3</v>
      </c>
      <c r="O32" s="56" t="s">
        <v>4</v>
      </c>
      <c r="P32" s="56" t="s">
        <v>5</v>
      </c>
      <c r="Q32" s="57" t="s">
        <v>6</v>
      </c>
      <c r="R32" s="131"/>
      <c r="S32" s="131"/>
      <c r="T32" s="131"/>
      <c r="U32" s="131"/>
      <c r="V32" s="131"/>
      <c r="W32" s="131"/>
      <c r="X32" s="131"/>
      <c r="Y32" s="131"/>
      <c r="Z32" s="131"/>
      <c r="AA32" s="131"/>
      <c r="AB32" s="131"/>
      <c r="AD32" s="113" t="s">
        <v>3</v>
      </c>
      <c r="AE32" s="106">
        <f t="array" ref="AE32">SUM(IF($A$42:$A$65&lt;&gt;"x",$N$42:$N$65,0))</f>
        <v>0</v>
      </c>
      <c r="AF32" s="116">
        <f>AE32*$Q$36</f>
        <v>0</v>
      </c>
      <c r="AG32" s="116">
        <f>AF88*Fed_Limit</f>
        <v>0</v>
      </c>
      <c r="AH32" s="98">
        <f>AG88*12</f>
        <v>0</v>
      </c>
    </row>
    <row r="33" spans="1:34" x14ac:dyDescent="0.2">
      <c r="A33" s="270"/>
      <c r="B33" s="55"/>
      <c r="C33" s="55"/>
      <c r="D33" s="55"/>
      <c r="E33" s="55"/>
      <c r="G33" s="135" t="s">
        <v>85</v>
      </c>
      <c r="H33" s="394"/>
      <c r="I33" s="250" t="s">
        <v>80</v>
      </c>
      <c r="K33" s="156"/>
      <c r="L33" s="55"/>
      <c r="M33" s="265">
        <f>IF(Instructor="",0,VLOOKUP(Instructor,Instr_Range,2))</f>
        <v>0</v>
      </c>
      <c r="N33" s="38">
        <f>SUM(Instr_Tot_HST)</f>
        <v>0</v>
      </c>
      <c r="O33" s="38">
        <f>IF(Scale&gt;=4,SUM(Instr_Tot_HSR),0)</f>
        <v>0</v>
      </c>
      <c r="P33" s="38">
        <f>((Q33-(Instr_base+SUM(Instr_Tot_HST)+SUM(Instr_Tot_HSR))))</f>
        <v>0</v>
      </c>
      <c r="Q33" s="230">
        <f>M33*K26</f>
        <v>0</v>
      </c>
      <c r="R33" s="131"/>
      <c r="S33" s="131"/>
      <c r="T33" s="131"/>
      <c r="U33" s="131"/>
      <c r="V33" s="131"/>
      <c r="W33" s="131"/>
      <c r="X33" s="131"/>
      <c r="Y33" s="131"/>
      <c r="Z33" s="131"/>
      <c r="AA33" s="131"/>
      <c r="AB33" s="131"/>
      <c r="AD33" s="113"/>
      <c r="AE33" s="106"/>
      <c r="AF33" s="116"/>
      <c r="AG33" s="116"/>
      <c r="AH33" s="98"/>
    </row>
    <row r="34" spans="1:34" x14ac:dyDescent="0.2">
      <c r="A34" s="63"/>
      <c r="B34" s="30"/>
      <c r="C34" s="30"/>
      <c r="D34" s="30"/>
      <c r="E34" s="34"/>
      <c r="G34" s="135" t="s">
        <v>66</v>
      </c>
      <c r="H34" s="394"/>
      <c r="I34" s="156"/>
      <c r="J34" s="156"/>
      <c r="K34" s="156"/>
      <c r="L34" s="55"/>
      <c r="M34" s="37">
        <f>IF(Assistant="",0,VLOOKUP(Assistant,Asst_Prof,2))</f>
        <v>0</v>
      </c>
      <c r="N34" s="38">
        <f>SUM(Asst_Tot_HST)</f>
        <v>0</v>
      </c>
      <c r="O34" s="38">
        <f>IF(Scale&gt;=4,SUM(Asst_Tot_HSR),0)</f>
        <v>0</v>
      </c>
      <c r="P34" s="38">
        <f>((Q34-(Asst_Base+SUM(Asst_Tot_HST)+SUM(Asst_Tot_HSR))))</f>
        <v>0</v>
      </c>
      <c r="Q34" s="230">
        <f>M34*K26</f>
        <v>0</v>
      </c>
      <c r="R34" s="48"/>
      <c r="S34" s="48"/>
      <c r="T34" s="159"/>
      <c r="U34" s="149"/>
      <c r="V34" s="48"/>
      <c r="W34" s="48"/>
      <c r="X34" s="48"/>
      <c r="Y34" s="48"/>
      <c r="Z34" s="48"/>
      <c r="AA34" s="48"/>
      <c r="AB34" s="48"/>
      <c r="AD34" s="113" t="s">
        <v>4</v>
      </c>
      <c r="AE34" s="106">
        <f t="array" ref="AE34">SUM(IF($A$42:$A$65&lt;&gt;"x",$O$42:$O$65,0))</f>
        <v>0</v>
      </c>
      <c r="AF34" s="116">
        <f>AE34*$Q$36</f>
        <v>0</v>
      </c>
      <c r="AG34" s="116">
        <f>AF89*Fed_Limit</f>
        <v>0</v>
      </c>
      <c r="AH34" s="98">
        <f>AG89*12</f>
        <v>0</v>
      </c>
    </row>
    <row r="35" spans="1:34" x14ac:dyDescent="0.2">
      <c r="A35" s="63"/>
      <c r="B35" s="30"/>
      <c r="C35" s="30"/>
      <c r="D35" s="30"/>
      <c r="E35" s="34"/>
      <c r="G35" s="135" t="s">
        <v>67</v>
      </c>
      <c r="H35" s="394"/>
      <c r="I35" s="156"/>
      <c r="J35" s="156"/>
      <c r="K35" s="156"/>
      <c r="L35" s="55"/>
      <c r="M35" s="37">
        <f>IF(Associate= "",0,VLOOKUP(Associate,Assoc_Prof,2))</f>
        <v>0</v>
      </c>
      <c r="N35" s="38">
        <f>SUM(Assoc_Tot_HST)</f>
        <v>0</v>
      </c>
      <c r="O35" s="38">
        <f>IF(Scale&gt;=4,SUM(Assoc_Tot_HSR),0)</f>
        <v>0</v>
      </c>
      <c r="P35" s="38">
        <f>(Q35-(Assoc_Base+SUM(Assoc_Tot_HST)+SUM(Assoc_Tot_HSR)))</f>
        <v>0</v>
      </c>
      <c r="Q35" s="230">
        <f>M35*K26</f>
        <v>0</v>
      </c>
      <c r="R35" s="48"/>
      <c r="S35" s="48"/>
      <c r="T35" s="48"/>
      <c r="U35" s="48"/>
      <c r="V35" s="48"/>
      <c r="W35" s="48"/>
      <c r="X35" s="48"/>
      <c r="Y35" s="48"/>
      <c r="Z35" s="48"/>
      <c r="AA35" s="48"/>
      <c r="AB35" s="48"/>
      <c r="AD35" s="114" t="s">
        <v>5</v>
      </c>
      <c r="AE35" s="107">
        <f t="array" ref="AE35">SUM(IF($A$42:$A$65&lt;&gt;"x",$P$42:$P$65,0))</f>
        <v>0</v>
      </c>
      <c r="AF35" s="117">
        <f>AE35*$Q$36</f>
        <v>0</v>
      </c>
      <c r="AG35" s="117">
        <f>AF90*Fed_Limit</f>
        <v>0</v>
      </c>
      <c r="AH35" s="100">
        <f>AG90*12</f>
        <v>0</v>
      </c>
    </row>
    <row r="36" spans="1:34" ht="13.5" thickBot="1" x14ac:dyDescent="0.25">
      <c r="A36" s="148"/>
      <c r="B36" s="496"/>
      <c r="C36" s="496"/>
      <c r="D36" s="496"/>
      <c r="E36" s="36"/>
      <c r="F36" s="36"/>
      <c r="G36" s="158" t="s">
        <v>68</v>
      </c>
      <c r="H36" s="395"/>
      <c r="I36" s="157"/>
      <c r="J36" s="157"/>
      <c r="K36" s="157"/>
      <c r="L36" s="60"/>
      <c r="M36" s="39">
        <f>IF(Prof= "",0,VLOOKUP(Prof,professor,2))</f>
        <v>0</v>
      </c>
      <c r="N36" s="47">
        <f>SUM(Prof_Tot_HST)</f>
        <v>0</v>
      </c>
      <c r="O36" s="47">
        <f>IF(Scale&gt;=4,SUM(Prof_Tot_HSR),0)</f>
        <v>0</v>
      </c>
      <c r="P36" s="40">
        <f>(Q36-(Prof_Base+SUM(Prof_Tot_HST)+SUM(Prof_Tot_HSR)))</f>
        <v>0</v>
      </c>
      <c r="Q36" s="212">
        <f>M36*K26</f>
        <v>0</v>
      </c>
      <c r="R36" s="129"/>
      <c r="S36" s="129"/>
      <c r="T36" s="129"/>
      <c r="U36" s="129"/>
      <c r="V36" s="129"/>
      <c r="W36" s="129"/>
      <c r="X36" s="129"/>
      <c r="Y36" s="129"/>
      <c r="Z36" s="129"/>
      <c r="AA36" s="129"/>
      <c r="AB36" s="129"/>
      <c r="AD36" s="124" t="s">
        <v>6</v>
      </c>
      <c r="AE36" s="125">
        <f>SUM(AE31:AE35)</f>
        <v>0</v>
      </c>
      <c r="AF36" s="118">
        <f>SUM(AF31:AF35)</f>
        <v>0</v>
      </c>
      <c r="AG36" s="118">
        <f>SUM(AG31:AG35)</f>
        <v>0</v>
      </c>
      <c r="AH36" s="104">
        <f>SUM(AH31:AH35)</f>
        <v>0</v>
      </c>
    </row>
    <row r="37" spans="1:34" ht="13.5" thickTop="1" x14ac:dyDescent="0.2">
      <c r="F37" s="34"/>
      <c r="G37" s="34"/>
      <c r="H37" s="34"/>
      <c r="I37" s="34"/>
      <c r="J37" s="34"/>
      <c r="K37" s="80"/>
      <c r="L37" s="227" t="s">
        <v>70</v>
      </c>
      <c r="M37" s="228">
        <f>SUM(M33:M36)</f>
        <v>0</v>
      </c>
      <c r="N37" s="228">
        <f>SUM(N33:N36)</f>
        <v>0</v>
      </c>
      <c r="O37" s="228">
        <f>SUM(O33:O36)</f>
        <v>0</v>
      </c>
      <c r="P37" s="228">
        <f>SUM(P33:P36)</f>
        <v>0</v>
      </c>
      <c r="Q37" s="228">
        <f>SUM(Q33:Q36)</f>
        <v>0</v>
      </c>
      <c r="R37" s="48"/>
      <c r="S37" s="48"/>
      <c r="T37" s="48"/>
      <c r="U37" s="48"/>
      <c r="V37" s="48"/>
      <c r="W37" s="48"/>
      <c r="X37" s="48"/>
      <c r="Y37" s="48"/>
      <c r="Z37" s="48"/>
      <c r="AA37" s="48"/>
      <c r="AB37" s="48"/>
      <c r="AD37" s="8" t="s">
        <v>6</v>
      </c>
      <c r="AE37" s="108"/>
      <c r="AF37" s="99"/>
      <c r="AG37" s="100"/>
      <c r="AH37" s="104"/>
    </row>
    <row r="38" spans="1:34" x14ac:dyDescent="0.2">
      <c r="E38" s="252"/>
      <c r="F38" s="34"/>
      <c r="G38" s="34"/>
      <c r="H38" s="34"/>
      <c r="I38" s="34"/>
      <c r="J38" s="34"/>
      <c r="K38" s="61"/>
      <c r="L38" s="226" t="s">
        <v>71</v>
      </c>
      <c r="M38" s="229">
        <f>M37/12</f>
        <v>0</v>
      </c>
      <c r="N38" s="229">
        <f>N37/12</f>
        <v>0</v>
      </c>
      <c r="O38" s="229">
        <f>O37/12</f>
        <v>0</v>
      </c>
      <c r="P38" s="229">
        <f>P37/12</f>
        <v>0</v>
      </c>
      <c r="Q38" s="229">
        <f>Q37/12</f>
        <v>0</v>
      </c>
      <c r="R38" s="130"/>
      <c r="S38" s="130"/>
      <c r="T38" s="130"/>
      <c r="U38" s="130"/>
      <c r="V38" s="130"/>
      <c r="W38" s="130"/>
      <c r="X38" s="130"/>
      <c r="Y38" s="130"/>
      <c r="Z38" s="130"/>
      <c r="AA38" s="130"/>
      <c r="AC38" s="34"/>
      <c r="AD38" s="48"/>
      <c r="AE38" s="48"/>
      <c r="AF38" s="48"/>
      <c r="AG38" s="129"/>
    </row>
    <row r="39" spans="1:34" ht="13.5" thickBot="1" x14ac:dyDescent="0.25">
      <c r="A39" s="251" t="s">
        <v>80</v>
      </c>
      <c r="B39" s="251"/>
      <c r="C39" s="251"/>
      <c r="D39" s="251"/>
      <c r="J39" s="354"/>
      <c r="L39" s="352" t="s">
        <v>116</v>
      </c>
      <c r="M39" s="353">
        <f>ROUND(IF(Q37&gt;0,M37/Q37*H31,0),4)</f>
        <v>0</v>
      </c>
      <c r="N39" s="353">
        <f>ROUND(IF(Q37&gt;0,N37/Q37*H31,0),4)</f>
        <v>0</v>
      </c>
      <c r="O39" s="353">
        <f>ROUND(IF(Q37&gt;0,O37/Q37*H31,0),4)</f>
        <v>0</v>
      </c>
      <c r="P39" s="353">
        <f>SUM(Q39-O39-N39-M39)</f>
        <v>0</v>
      </c>
      <c r="Q39" s="353">
        <f>H31</f>
        <v>0</v>
      </c>
      <c r="R39" s="251"/>
      <c r="T39" s="136"/>
      <c r="U39" s="136"/>
      <c r="V39" s="136"/>
      <c r="W39" s="136"/>
      <c r="X39" s="136"/>
      <c r="Y39" s="136"/>
      <c r="Z39" s="136"/>
      <c r="AA39" s="136"/>
      <c r="AH39" s="53"/>
    </row>
    <row r="40" spans="1:34" ht="13.5" thickBot="1" x14ac:dyDescent="0.25">
      <c r="A40" s="501" t="s">
        <v>49</v>
      </c>
      <c r="B40" s="498"/>
      <c r="C40" s="498"/>
      <c r="D40" s="498"/>
      <c r="E40" s="160"/>
      <c r="F40" s="141"/>
      <c r="G40" s="144"/>
      <c r="H40" s="142"/>
      <c r="I40" s="10"/>
      <c r="J40" s="10"/>
      <c r="K40" s="10"/>
      <c r="L40" s="11"/>
      <c r="M40" s="144" t="s">
        <v>7</v>
      </c>
      <c r="N40" s="10"/>
      <c r="O40" s="10"/>
      <c r="P40" s="11"/>
      <c r="Q40" s="19"/>
      <c r="R40" s="34"/>
      <c r="S40" s="448" t="s">
        <v>86</v>
      </c>
      <c r="T40" s="43"/>
      <c r="U40" s="43"/>
      <c r="V40" s="43"/>
      <c r="W40" s="449"/>
      <c r="X40" s="443"/>
      <c r="Y40" s="443"/>
      <c r="Z40" s="443"/>
      <c r="AA40" s="85"/>
      <c r="AB40" s="132" t="s">
        <v>40</v>
      </c>
      <c r="AC40" s="85" t="s">
        <v>40</v>
      </c>
      <c r="AD40" s="6"/>
      <c r="AE40" s="6"/>
      <c r="AF40" s="6"/>
      <c r="AG40" s="5"/>
    </row>
    <row r="41" spans="1:34" ht="40.5" customHeight="1" thickBot="1" x14ac:dyDescent="0.25">
      <c r="A41" s="502" t="s">
        <v>46</v>
      </c>
      <c r="B41" s="514" t="s">
        <v>187</v>
      </c>
      <c r="C41" s="513" t="s">
        <v>188</v>
      </c>
      <c r="D41" s="514" t="s">
        <v>189</v>
      </c>
      <c r="E41" s="513" t="s">
        <v>190</v>
      </c>
      <c r="F41" s="513" t="s">
        <v>191</v>
      </c>
      <c r="G41" s="513" t="s">
        <v>192</v>
      </c>
      <c r="H41" s="223" t="s">
        <v>50</v>
      </c>
      <c r="I41" s="224" t="s">
        <v>47</v>
      </c>
      <c r="J41" s="224" t="s">
        <v>88</v>
      </c>
      <c r="K41" s="224" t="s">
        <v>87</v>
      </c>
      <c r="L41" s="225" t="s">
        <v>48</v>
      </c>
      <c r="M41" s="414" t="s">
        <v>135</v>
      </c>
      <c r="N41" s="58" t="s">
        <v>3</v>
      </c>
      <c r="O41" s="58" t="s">
        <v>4</v>
      </c>
      <c r="P41" s="59" t="s">
        <v>5</v>
      </c>
      <c r="Q41" s="559" t="s">
        <v>9</v>
      </c>
      <c r="R41" s="132"/>
      <c r="S41" s="444" t="s">
        <v>136</v>
      </c>
      <c r="T41" s="445" t="s">
        <v>16</v>
      </c>
      <c r="U41" s="445" t="s">
        <v>41</v>
      </c>
      <c r="V41" s="446" t="s">
        <v>17</v>
      </c>
      <c r="W41" s="447" t="s">
        <v>6</v>
      </c>
      <c r="X41" s="132"/>
      <c r="Y41" s="132"/>
      <c r="Z41" s="132"/>
      <c r="AA41" s="132"/>
      <c r="AD41" s="4" t="s">
        <v>11</v>
      </c>
      <c r="AE41" s="6"/>
      <c r="AF41" s="6"/>
      <c r="AG41" s="5"/>
    </row>
    <row r="42" spans="1:34" ht="2.25" customHeight="1" thickBot="1" x14ac:dyDescent="0.25">
      <c r="A42" s="162"/>
      <c r="B42" s="30"/>
      <c r="C42" s="30"/>
      <c r="D42" s="27"/>
      <c r="E42" s="16"/>
      <c r="F42" s="34"/>
      <c r="G42" s="34"/>
      <c r="H42" s="34"/>
      <c r="I42" s="34"/>
      <c r="J42" s="34"/>
      <c r="K42" s="34"/>
      <c r="L42" s="146"/>
      <c r="M42" s="165"/>
      <c r="N42" s="166"/>
      <c r="O42" s="166"/>
      <c r="P42" s="166"/>
      <c r="Q42" s="146"/>
      <c r="R42" s="55"/>
      <c r="S42" s="442"/>
      <c r="T42" s="217"/>
      <c r="U42" s="217"/>
      <c r="V42" s="217"/>
      <c r="W42" s="272"/>
      <c r="X42" s="55"/>
      <c r="Y42" s="55"/>
      <c r="Z42" s="55"/>
      <c r="AA42" s="55"/>
      <c r="AB42" s="1"/>
    </row>
    <row r="43" spans="1:34" ht="13.5" customHeight="1" x14ac:dyDescent="0.2">
      <c r="A43" s="503"/>
      <c r="B43" s="518"/>
      <c r="C43" s="518"/>
      <c r="D43" s="519"/>
      <c r="E43" s="520"/>
      <c r="F43" s="521"/>
      <c r="G43" s="519"/>
      <c r="H43" s="391"/>
      <c r="I43" s="396"/>
      <c r="J43" s="397"/>
      <c r="K43" s="161">
        <f t="shared" ref="K43:K65" si="2">IF(ISERROR(IF(A43="",L43*(Annual_Salary/12),L43*(VLOOKUP(A43,SalaryLimits,2,FALSE))/12)),0,IF(A43="",L43*(Annual_Salary/12),L43*(VLOOKUP(A43,SalaryLimits,2,FALSE))/12))</f>
        <v>0</v>
      </c>
      <c r="L43" s="332">
        <f t="shared" ref="L43:L65" si="3">IF(ISERROR(ROUND(IF(AND(I43="",A43=""),J43/(Annual_Salary/12),IF(AND(I43="",A43&lt;&gt;""),J43/(VLOOKUP(A43,SalaryLimits,2,FALSE)/12),I43)),4)),0,ROUND(IF(AND(I43="",A43=""),J43/(Annual_Salary/12),IF(AND(I43="",A43&lt;&gt;""),J43/(VLOOKUP(A43,SalaryLimits,2,FALSE)/12),I43)),4))</f>
        <v>0</v>
      </c>
      <c r="M43" s="163">
        <f t="shared" ref="M43:M60" si="4">IF(ISERROR(IF(L43&lt;M82,L43,M82)),0,IF(L43&lt;M82,L43,M82))</f>
        <v>0</v>
      </c>
      <c r="N43" s="114">
        <f t="shared" ref="N43:N60" si="5">IF(ISERROR(IF(AD43&lt;N82,AD43,N82)),0,IF(AD43&lt;N82,AD43,N82))</f>
        <v>0</v>
      </c>
      <c r="O43" s="114">
        <f t="shared" ref="O43:O60" si="6">IF(ISERROR(IF(AE43&lt;O82,AE43,O82)),0,IF(AE43&lt;O82,AE43,O82))</f>
        <v>0</v>
      </c>
      <c r="P43" s="164">
        <f t="shared" ref="P43:P60" si="7">IF(ISERROR(IF(AF43&lt;P82,AF43,P82)),0,IF(AF43&lt;P82,AF43,P82))</f>
        <v>0</v>
      </c>
      <c r="Q43" s="220">
        <f t="shared" ref="Q43:Q65" si="8">SUM(M43:P43)</f>
        <v>0</v>
      </c>
      <c r="R43" s="110"/>
      <c r="S43" s="137">
        <f t="shared" ref="S43:S65" si="9">IF(OR(OverCAP="No",A43=""),0,(M43*(Annual_Salary/12))-(M43*(VLOOKUP(A43,SalaryLimits,2,FALSE)/12)))</f>
        <v>0</v>
      </c>
      <c r="T43" s="137">
        <f t="shared" ref="T43:T65" si="10">IF(OR(OverCAP="No",A43=""),0,(N43*(Annual_Salary/12))-(N43*(VLOOKUP(A43,SalaryLimits,2,FALSE)/12)))</f>
        <v>0</v>
      </c>
      <c r="U43" s="137">
        <f t="shared" ref="U43:U65" si="11">IF(OR(OverCAP="No",A43=""),0,(O43*(Annual_Salary/12))-(O43*(VLOOKUP(A43,SalaryLimits,2,FALSE)/12)))</f>
        <v>0</v>
      </c>
      <c r="V43" s="137">
        <f t="shared" ref="V43:V65" si="12">IF(OR(OverCAP="No",A43=""),0,(P43*(Annual_Salary/12))-(P43*(VLOOKUP(A43,SalaryLimits,2,FALSE)/12)))</f>
        <v>0</v>
      </c>
      <c r="W43" s="336">
        <f>SUM(S43:V43)</f>
        <v>0</v>
      </c>
      <c r="X43" s="213"/>
      <c r="Y43" s="213"/>
      <c r="Z43" s="213"/>
      <c r="AA43" s="213"/>
      <c r="AB43" s="1"/>
      <c r="AD43" s="67">
        <f t="shared" ref="AD43:AD60" si="13">L43-M43</f>
        <v>0</v>
      </c>
      <c r="AE43" s="68">
        <f t="shared" ref="AE43:AE60" si="14">L43-M43-N43</f>
        <v>0</v>
      </c>
      <c r="AF43" s="69">
        <f t="shared" ref="AF43:AF60" si="15">L43-M43-N43-O43</f>
        <v>0</v>
      </c>
      <c r="AG43" s="68">
        <f t="shared" ref="AG43:AG60" si="16">L43-M43-N43-O43-P43</f>
        <v>0</v>
      </c>
    </row>
    <row r="44" spans="1:34" ht="13.5" customHeight="1" x14ac:dyDescent="0.2">
      <c r="A44" s="389"/>
      <c r="B44" s="518"/>
      <c r="C44" s="518"/>
      <c r="D44" s="519"/>
      <c r="E44" s="520"/>
      <c r="F44" s="521"/>
      <c r="G44" s="519"/>
      <c r="H44" s="391"/>
      <c r="I44" s="396"/>
      <c r="J44" s="398"/>
      <c r="K44" s="161">
        <f t="shared" si="2"/>
        <v>0</v>
      </c>
      <c r="L44" s="332">
        <f t="shared" si="3"/>
        <v>0</v>
      </c>
      <c r="M44" s="145">
        <f t="shared" si="4"/>
        <v>0</v>
      </c>
      <c r="N44" s="64">
        <f t="shared" si="5"/>
        <v>0</v>
      </c>
      <c r="O44" s="64">
        <f t="shared" si="6"/>
        <v>0</v>
      </c>
      <c r="P44" s="65">
        <f t="shared" si="7"/>
        <v>0</v>
      </c>
      <c r="Q44" s="221">
        <f t="shared" si="8"/>
        <v>0</v>
      </c>
      <c r="R44" s="110"/>
      <c r="S44" s="218">
        <f t="shared" si="9"/>
        <v>0</v>
      </c>
      <c r="T44" s="219">
        <f t="shared" si="10"/>
        <v>0</v>
      </c>
      <c r="U44" s="219">
        <f t="shared" si="11"/>
        <v>0</v>
      </c>
      <c r="V44" s="219">
        <f t="shared" si="12"/>
        <v>0</v>
      </c>
      <c r="W44" s="336">
        <f t="shared" ref="W44:W65" si="17">SUM(S44:V44)</f>
        <v>0</v>
      </c>
      <c r="X44" s="213"/>
      <c r="Y44" s="213"/>
      <c r="Z44" s="213"/>
      <c r="AA44" s="213"/>
      <c r="AB44" s="1"/>
      <c r="AD44" s="67">
        <f t="shared" si="13"/>
        <v>0</v>
      </c>
      <c r="AE44" s="68">
        <f t="shared" si="14"/>
        <v>0</v>
      </c>
      <c r="AF44" s="69">
        <f t="shared" si="15"/>
        <v>0</v>
      </c>
      <c r="AG44" s="68">
        <f t="shared" si="16"/>
        <v>0</v>
      </c>
    </row>
    <row r="45" spans="1:34" x14ac:dyDescent="0.2">
      <c r="A45" s="503"/>
      <c r="B45" s="518"/>
      <c r="C45" s="518"/>
      <c r="D45" s="519"/>
      <c r="E45" s="520"/>
      <c r="F45" s="521"/>
      <c r="G45" s="519"/>
      <c r="H45" s="391"/>
      <c r="I45" s="396"/>
      <c r="J45" s="398"/>
      <c r="K45" s="161">
        <f t="shared" si="2"/>
        <v>0</v>
      </c>
      <c r="L45" s="332">
        <f t="shared" si="3"/>
        <v>0</v>
      </c>
      <c r="M45" s="145">
        <f t="shared" si="4"/>
        <v>0</v>
      </c>
      <c r="N45" s="64">
        <f t="shared" si="5"/>
        <v>0</v>
      </c>
      <c r="O45" s="64">
        <f t="shared" si="6"/>
        <v>0</v>
      </c>
      <c r="P45" s="65">
        <f t="shared" si="7"/>
        <v>0</v>
      </c>
      <c r="Q45" s="221">
        <f t="shared" si="8"/>
        <v>0</v>
      </c>
      <c r="R45" s="110"/>
      <c r="S45" s="218">
        <f t="shared" si="9"/>
        <v>0</v>
      </c>
      <c r="T45" s="219">
        <f t="shared" si="10"/>
        <v>0</v>
      </c>
      <c r="U45" s="219">
        <f t="shared" si="11"/>
        <v>0</v>
      </c>
      <c r="V45" s="219">
        <f t="shared" si="12"/>
        <v>0</v>
      </c>
      <c r="W45" s="336">
        <f t="shared" si="17"/>
        <v>0</v>
      </c>
      <c r="X45" s="213"/>
      <c r="Y45" s="213"/>
      <c r="Z45" s="213"/>
      <c r="AA45" s="213"/>
      <c r="AB45" s="1"/>
      <c r="AD45" s="67">
        <f t="shared" si="13"/>
        <v>0</v>
      </c>
      <c r="AE45" s="68">
        <f t="shared" si="14"/>
        <v>0</v>
      </c>
      <c r="AF45" s="69">
        <f t="shared" si="15"/>
        <v>0</v>
      </c>
      <c r="AG45" s="68">
        <f t="shared" si="16"/>
        <v>0</v>
      </c>
    </row>
    <row r="46" spans="1:34" x14ac:dyDescent="0.2">
      <c r="A46" s="503"/>
      <c r="B46" s="518"/>
      <c r="C46" s="518"/>
      <c r="D46" s="519"/>
      <c r="E46" s="520"/>
      <c r="F46" s="521"/>
      <c r="G46" s="519"/>
      <c r="H46" s="391"/>
      <c r="I46" s="396"/>
      <c r="J46" s="398"/>
      <c r="K46" s="161">
        <f t="shared" si="2"/>
        <v>0</v>
      </c>
      <c r="L46" s="332">
        <f t="shared" si="3"/>
        <v>0</v>
      </c>
      <c r="M46" s="145">
        <f t="shared" si="4"/>
        <v>0</v>
      </c>
      <c r="N46" s="64">
        <f t="shared" si="5"/>
        <v>0</v>
      </c>
      <c r="O46" s="64">
        <f t="shared" si="6"/>
        <v>0</v>
      </c>
      <c r="P46" s="65">
        <f t="shared" si="7"/>
        <v>0</v>
      </c>
      <c r="Q46" s="221">
        <f t="shared" si="8"/>
        <v>0</v>
      </c>
      <c r="R46" s="110"/>
      <c r="S46" s="218">
        <f t="shared" si="9"/>
        <v>0</v>
      </c>
      <c r="T46" s="219">
        <f t="shared" si="10"/>
        <v>0</v>
      </c>
      <c r="U46" s="219">
        <f t="shared" si="11"/>
        <v>0</v>
      </c>
      <c r="V46" s="219">
        <f t="shared" si="12"/>
        <v>0</v>
      </c>
      <c r="W46" s="336">
        <f t="shared" si="17"/>
        <v>0</v>
      </c>
      <c r="X46" s="213"/>
      <c r="Y46" s="213"/>
      <c r="Z46" s="213"/>
      <c r="AA46" s="213"/>
      <c r="AB46" s="1"/>
      <c r="AD46" s="67">
        <f t="shared" si="13"/>
        <v>0</v>
      </c>
      <c r="AE46" s="68">
        <f t="shared" si="14"/>
        <v>0</v>
      </c>
      <c r="AF46" s="69">
        <f t="shared" si="15"/>
        <v>0</v>
      </c>
      <c r="AG46" s="68">
        <f t="shared" si="16"/>
        <v>0</v>
      </c>
    </row>
    <row r="47" spans="1:34" ht="13.5" customHeight="1" x14ac:dyDescent="0.2">
      <c r="A47" s="503"/>
      <c r="B47" s="518"/>
      <c r="C47" s="518"/>
      <c r="D47" s="519"/>
      <c r="E47" s="520"/>
      <c r="F47" s="521"/>
      <c r="G47" s="519"/>
      <c r="H47" s="391"/>
      <c r="I47" s="396"/>
      <c r="J47" s="398"/>
      <c r="K47" s="161">
        <f t="shared" si="2"/>
        <v>0</v>
      </c>
      <c r="L47" s="332">
        <f t="shared" si="3"/>
        <v>0</v>
      </c>
      <c r="M47" s="145">
        <f t="shared" si="4"/>
        <v>0</v>
      </c>
      <c r="N47" s="64">
        <f t="shared" si="5"/>
        <v>0</v>
      </c>
      <c r="O47" s="64">
        <f t="shared" si="6"/>
        <v>0</v>
      </c>
      <c r="P47" s="65">
        <f t="shared" si="7"/>
        <v>0</v>
      </c>
      <c r="Q47" s="221">
        <f t="shared" si="8"/>
        <v>0</v>
      </c>
      <c r="R47" s="110"/>
      <c r="S47" s="218">
        <f t="shared" si="9"/>
        <v>0</v>
      </c>
      <c r="T47" s="219">
        <f t="shared" si="10"/>
        <v>0</v>
      </c>
      <c r="U47" s="219">
        <f t="shared" si="11"/>
        <v>0</v>
      </c>
      <c r="V47" s="219">
        <f t="shared" si="12"/>
        <v>0</v>
      </c>
      <c r="W47" s="336">
        <f t="shared" si="17"/>
        <v>0</v>
      </c>
      <c r="X47" s="213"/>
      <c r="Y47" s="213"/>
      <c r="Z47" s="213"/>
      <c r="AA47" s="213"/>
      <c r="AB47" s="1"/>
      <c r="AD47" s="67">
        <f t="shared" si="13"/>
        <v>0</v>
      </c>
      <c r="AE47" s="68">
        <f t="shared" si="14"/>
        <v>0</v>
      </c>
      <c r="AF47" s="69">
        <f t="shared" si="15"/>
        <v>0</v>
      </c>
      <c r="AG47" s="68">
        <f t="shared" si="16"/>
        <v>0</v>
      </c>
    </row>
    <row r="48" spans="1:34" ht="13.5" customHeight="1" x14ac:dyDescent="0.2">
      <c r="A48" s="503"/>
      <c r="B48" s="518"/>
      <c r="C48" s="518"/>
      <c r="D48" s="519"/>
      <c r="E48" s="520"/>
      <c r="F48" s="521"/>
      <c r="G48" s="519"/>
      <c r="H48" s="391"/>
      <c r="I48" s="396"/>
      <c r="J48" s="398"/>
      <c r="K48" s="161">
        <f t="shared" si="2"/>
        <v>0</v>
      </c>
      <c r="L48" s="332">
        <f t="shared" si="3"/>
        <v>0</v>
      </c>
      <c r="M48" s="145">
        <f t="shared" si="4"/>
        <v>0</v>
      </c>
      <c r="N48" s="64">
        <f t="shared" si="5"/>
        <v>0</v>
      </c>
      <c r="O48" s="64">
        <f t="shared" si="6"/>
        <v>0</v>
      </c>
      <c r="P48" s="65">
        <f t="shared" si="7"/>
        <v>0</v>
      </c>
      <c r="Q48" s="221">
        <f t="shared" si="8"/>
        <v>0</v>
      </c>
      <c r="R48" s="110"/>
      <c r="S48" s="218">
        <f t="shared" si="9"/>
        <v>0</v>
      </c>
      <c r="T48" s="219">
        <f t="shared" si="10"/>
        <v>0</v>
      </c>
      <c r="U48" s="219">
        <f t="shared" si="11"/>
        <v>0</v>
      </c>
      <c r="V48" s="219">
        <f t="shared" si="12"/>
        <v>0</v>
      </c>
      <c r="W48" s="336">
        <f t="shared" si="17"/>
        <v>0</v>
      </c>
      <c r="X48" s="213"/>
      <c r="Y48" s="213"/>
      <c r="Z48" s="213"/>
      <c r="AA48" s="213"/>
      <c r="AB48" s="1"/>
      <c r="AD48" s="67">
        <f t="shared" si="13"/>
        <v>0</v>
      </c>
      <c r="AE48" s="68">
        <f t="shared" si="14"/>
        <v>0</v>
      </c>
      <c r="AF48" s="69">
        <f t="shared" si="15"/>
        <v>0</v>
      </c>
      <c r="AG48" s="68">
        <f t="shared" si="16"/>
        <v>0</v>
      </c>
    </row>
    <row r="49" spans="1:35" ht="13.5" customHeight="1" x14ac:dyDescent="0.2">
      <c r="A49" s="503"/>
      <c r="B49" s="518"/>
      <c r="C49" s="518"/>
      <c r="D49" s="519"/>
      <c r="E49" s="520"/>
      <c r="F49" s="521"/>
      <c r="G49" s="519"/>
      <c r="H49" s="391"/>
      <c r="I49" s="396"/>
      <c r="J49" s="398"/>
      <c r="K49" s="161">
        <f t="shared" si="2"/>
        <v>0</v>
      </c>
      <c r="L49" s="332">
        <f t="shared" si="3"/>
        <v>0</v>
      </c>
      <c r="M49" s="145">
        <f t="shared" si="4"/>
        <v>0</v>
      </c>
      <c r="N49" s="64">
        <f t="shared" si="5"/>
        <v>0</v>
      </c>
      <c r="O49" s="64">
        <f t="shared" si="6"/>
        <v>0</v>
      </c>
      <c r="P49" s="65">
        <f t="shared" si="7"/>
        <v>0</v>
      </c>
      <c r="Q49" s="221">
        <f t="shared" si="8"/>
        <v>0</v>
      </c>
      <c r="R49" s="110"/>
      <c r="S49" s="218">
        <f t="shared" si="9"/>
        <v>0</v>
      </c>
      <c r="T49" s="219">
        <f t="shared" si="10"/>
        <v>0</v>
      </c>
      <c r="U49" s="219">
        <f t="shared" si="11"/>
        <v>0</v>
      </c>
      <c r="V49" s="219">
        <f t="shared" si="12"/>
        <v>0</v>
      </c>
      <c r="W49" s="336">
        <f t="shared" si="17"/>
        <v>0</v>
      </c>
      <c r="X49" s="213"/>
      <c r="Y49" s="213"/>
      <c r="Z49" s="213"/>
      <c r="AA49" s="213"/>
      <c r="AB49" s="1"/>
      <c r="AD49" s="67">
        <f t="shared" si="13"/>
        <v>0</v>
      </c>
      <c r="AE49" s="68">
        <f t="shared" si="14"/>
        <v>0</v>
      </c>
      <c r="AF49" s="69">
        <f t="shared" si="15"/>
        <v>0</v>
      </c>
      <c r="AG49" s="68">
        <f t="shared" si="16"/>
        <v>0</v>
      </c>
    </row>
    <row r="50" spans="1:35" x14ac:dyDescent="0.2">
      <c r="A50" s="503"/>
      <c r="B50" s="518"/>
      <c r="C50" s="518"/>
      <c r="D50" s="519"/>
      <c r="E50" s="520"/>
      <c r="F50" s="519"/>
      <c r="G50" s="519"/>
      <c r="H50" s="391"/>
      <c r="I50" s="396"/>
      <c r="J50" s="398"/>
      <c r="K50" s="161">
        <f t="shared" si="2"/>
        <v>0</v>
      </c>
      <c r="L50" s="332">
        <f t="shared" si="3"/>
        <v>0</v>
      </c>
      <c r="M50" s="145">
        <f t="shared" si="4"/>
        <v>0</v>
      </c>
      <c r="N50" s="64">
        <f t="shared" si="5"/>
        <v>0</v>
      </c>
      <c r="O50" s="64">
        <f t="shared" si="6"/>
        <v>0</v>
      </c>
      <c r="P50" s="65">
        <f t="shared" si="7"/>
        <v>0</v>
      </c>
      <c r="Q50" s="221">
        <f t="shared" si="8"/>
        <v>0</v>
      </c>
      <c r="R50" s="110"/>
      <c r="S50" s="218">
        <f t="shared" si="9"/>
        <v>0</v>
      </c>
      <c r="T50" s="219">
        <f t="shared" si="10"/>
        <v>0</v>
      </c>
      <c r="U50" s="219">
        <f t="shared" si="11"/>
        <v>0</v>
      </c>
      <c r="V50" s="219">
        <f t="shared" si="12"/>
        <v>0</v>
      </c>
      <c r="W50" s="336">
        <f t="shared" si="17"/>
        <v>0</v>
      </c>
      <c r="X50" s="213"/>
      <c r="Y50" s="213"/>
      <c r="Z50" s="213"/>
      <c r="AA50" s="213"/>
      <c r="AB50" s="1"/>
      <c r="AD50" s="67">
        <f t="shared" si="13"/>
        <v>0</v>
      </c>
      <c r="AE50" s="68">
        <f t="shared" si="14"/>
        <v>0</v>
      </c>
      <c r="AF50" s="69">
        <f t="shared" si="15"/>
        <v>0</v>
      </c>
      <c r="AG50" s="68">
        <f t="shared" si="16"/>
        <v>0</v>
      </c>
    </row>
    <row r="51" spans="1:35" x14ac:dyDescent="0.2">
      <c r="A51" s="503"/>
      <c r="B51" s="518"/>
      <c r="C51" s="518"/>
      <c r="D51" s="519"/>
      <c r="E51" s="520"/>
      <c r="F51" s="519"/>
      <c r="G51" s="519"/>
      <c r="H51" s="391"/>
      <c r="I51" s="396"/>
      <c r="J51" s="398"/>
      <c r="K51" s="161">
        <f t="shared" si="2"/>
        <v>0</v>
      </c>
      <c r="L51" s="332">
        <f t="shared" si="3"/>
        <v>0</v>
      </c>
      <c r="M51" s="145">
        <f t="shared" si="4"/>
        <v>0</v>
      </c>
      <c r="N51" s="64">
        <f t="shared" si="5"/>
        <v>0</v>
      </c>
      <c r="O51" s="64">
        <f t="shared" si="6"/>
        <v>0</v>
      </c>
      <c r="P51" s="65">
        <f t="shared" si="7"/>
        <v>0</v>
      </c>
      <c r="Q51" s="221">
        <f t="shared" si="8"/>
        <v>0</v>
      </c>
      <c r="R51" s="110"/>
      <c r="S51" s="218">
        <f t="shared" si="9"/>
        <v>0</v>
      </c>
      <c r="T51" s="219">
        <f t="shared" si="10"/>
        <v>0</v>
      </c>
      <c r="U51" s="219">
        <f t="shared" si="11"/>
        <v>0</v>
      </c>
      <c r="V51" s="219">
        <f t="shared" si="12"/>
        <v>0</v>
      </c>
      <c r="W51" s="336">
        <f t="shared" si="17"/>
        <v>0</v>
      </c>
      <c r="X51" s="213"/>
      <c r="Y51" s="213"/>
      <c r="Z51" s="213"/>
      <c r="AA51" s="213"/>
      <c r="AB51" s="1"/>
      <c r="AD51" s="67">
        <f t="shared" si="13"/>
        <v>0</v>
      </c>
      <c r="AE51" s="68">
        <f t="shared" si="14"/>
        <v>0</v>
      </c>
      <c r="AF51" s="69">
        <f t="shared" si="15"/>
        <v>0</v>
      </c>
      <c r="AG51" s="68">
        <f t="shared" si="16"/>
        <v>0</v>
      </c>
    </row>
    <row r="52" spans="1:35" x14ac:dyDescent="0.2">
      <c r="A52" s="503"/>
      <c r="B52" s="518"/>
      <c r="C52" s="518"/>
      <c r="D52" s="519"/>
      <c r="E52" s="520"/>
      <c r="F52" s="519"/>
      <c r="G52" s="519"/>
      <c r="H52" s="391"/>
      <c r="I52" s="396"/>
      <c r="J52" s="398"/>
      <c r="K52" s="161">
        <f t="shared" si="2"/>
        <v>0</v>
      </c>
      <c r="L52" s="332">
        <f t="shared" si="3"/>
        <v>0</v>
      </c>
      <c r="M52" s="145">
        <f t="shared" si="4"/>
        <v>0</v>
      </c>
      <c r="N52" s="64">
        <f t="shared" si="5"/>
        <v>0</v>
      </c>
      <c r="O52" s="64">
        <f t="shared" si="6"/>
        <v>0</v>
      </c>
      <c r="P52" s="65">
        <f t="shared" si="7"/>
        <v>0</v>
      </c>
      <c r="Q52" s="221">
        <f t="shared" si="8"/>
        <v>0</v>
      </c>
      <c r="R52" s="110"/>
      <c r="S52" s="218">
        <f t="shared" si="9"/>
        <v>0</v>
      </c>
      <c r="T52" s="219">
        <f t="shared" si="10"/>
        <v>0</v>
      </c>
      <c r="U52" s="219">
        <f t="shared" si="11"/>
        <v>0</v>
      </c>
      <c r="V52" s="219">
        <f t="shared" si="12"/>
        <v>0</v>
      </c>
      <c r="W52" s="336">
        <f t="shared" si="17"/>
        <v>0</v>
      </c>
      <c r="X52" s="213"/>
      <c r="Y52" s="213"/>
      <c r="Z52" s="213"/>
      <c r="AA52" s="213"/>
      <c r="AB52" s="1"/>
      <c r="AD52" s="67">
        <f t="shared" si="13"/>
        <v>0</v>
      </c>
      <c r="AE52" s="68">
        <f t="shared" si="14"/>
        <v>0</v>
      </c>
      <c r="AF52" s="69">
        <f t="shared" si="15"/>
        <v>0</v>
      </c>
      <c r="AG52" s="68">
        <f t="shared" si="16"/>
        <v>0</v>
      </c>
    </row>
    <row r="53" spans="1:35" x14ac:dyDescent="0.2">
      <c r="A53" s="503"/>
      <c r="B53" s="518"/>
      <c r="C53" s="518"/>
      <c r="D53" s="519"/>
      <c r="E53" s="520"/>
      <c r="F53" s="519"/>
      <c r="G53" s="519"/>
      <c r="H53" s="391"/>
      <c r="I53" s="396"/>
      <c r="J53" s="398"/>
      <c r="K53" s="161">
        <f t="shared" si="2"/>
        <v>0</v>
      </c>
      <c r="L53" s="332">
        <f t="shared" si="3"/>
        <v>0</v>
      </c>
      <c r="M53" s="145">
        <f t="shared" si="4"/>
        <v>0</v>
      </c>
      <c r="N53" s="64">
        <f t="shared" si="5"/>
        <v>0</v>
      </c>
      <c r="O53" s="64">
        <f t="shared" si="6"/>
        <v>0</v>
      </c>
      <c r="P53" s="65">
        <f t="shared" si="7"/>
        <v>0</v>
      </c>
      <c r="Q53" s="221">
        <f t="shared" si="8"/>
        <v>0</v>
      </c>
      <c r="R53" s="110"/>
      <c r="S53" s="218">
        <f t="shared" si="9"/>
        <v>0</v>
      </c>
      <c r="T53" s="219">
        <f t="shared" si="10"/>
        <v>0</v>
      </c>
      <c r="U53" s="219">
        <f t="shared" si="11"/>
        <v>0</v>
      </c>
      <c r="V53" s="219">
        <f t="shared" si="12"/>
        <v>0</v>
      </c>
      <c r="W53" s="336">
        <f t="shared" si="17"/>
        <v>0</v>
      </c>
      <c r="X53" s="213"/>
      <c r="Y53" s="213"/>
      <c r="Z53" s="213"/>
      <c r="AA53" s="213"/>
      <c r="AB53" s="1"/>
      <c r="AD53" s="67">
        <f t="shared" si="13"/>
        <v>0</v>
      </c>
      <c r="AE53" s="68">
        <f t="shared" si="14"/>
        <v>0</v>
      </c>
      <c r="AF53" s="69">
        <f t="shared" si="15"/>
        <v>0</v>
      </c>
      <c r="AG53" s="68">
        <f t="shared" si="16"/>
        <v>0</v>
      </c>
    </row>
    <row r="54" spans="1:35" x14ac:dyDescent="0.2">
      <c r="A54" s="503"/>
      <c r="B54" s="518"/>
      <c r="C54" s="518"/>
      <c r="D54" s="519"/>
      <c r="E54" s="520"/>
      <c r="F54" s="519"/>
      <c r="G54" s="519"/>
      <c r="H54" s="391"/>
      <c r="I54" s="396"/>
      <c r="J54" s="398"/>
      <c r="K54" s="161">
        <f t="shared" si="2"/>
        <v>0</v>
      </c>
      <c r="L54" s="332">
        <f t="shared" si="3"/>
        <v>0</v>
      </c>
      <c r="M54" s="145">
        <f t="shared" si="4"/>
        <v>0</v>
      </c>
      <c r="N54" s="64">
        <f t="shared" si="5"/>
        <v>0</v>
      </c>
      <c r="O54" s="64">
        <f t="shared" si="6"/>
        <v>0</v>
      </c>
      <c r="P54" s="65">
        <f t="shared" si="7"/>
        <v>0</v>
      </c>
      <c r="Q54" s="221">
        <f t="shared" si="8"/>
        <v>0</v>
      </c>
      <c r="R54" s="110"/>
      <c r="S54" s="218">
        <f t="shared" si="9"/>
        <v>0</v>
      </c>
      <c r="T54" s="219">
        <f t="shared" si="10"/>
        <v>0</v>
      </c>
      <c r="U54" s="219">
        <f t="shared" si="11"/>
        <v>0</v>
      </c>
      <c r="V54" s="219">
        <f t="shared" si="12"/>
        <v>0</v>
      </c>
      <c r="W54" s="336">
        <f t="shared" si="17"/>
        <v>0</v>
      </c>
      <c r="X54" s="213"/>
      <c r="Y54" s="213"/>
      <c r="Z54" s="213"/>
      <c r="AA54" s="213"/>
      <c r="AB54" s="1"/>
      <c r="AD54" s="67">
        <f t="shared" si="13"/>
        <v>0</v>
      </c>
      <c r="AE54" s="68">
        <f t="shared" si="14"/>
        <v>0</v>
      </c>
      <c r="AF54" s="69">
        <f t="shared" si="15"/>
        <v>0</v>
      </c>
      <c r="AG54" s="68">
        <f t="shared" si="16"/>
        <v>0</v>
      </c>
    </row>
    <row r="55" spans="1:35" ht="13.5" customHeight="1" x14ac:dyDescent="0.2">
      <c r="A55" s="503"/>
      <c r="B55" s="518"/>
      <c r="C55" s="518"/>
      <c r="D55" s="519"/>
      <c r="E55" s="520"/>
      <c r="F55" s="519"/>
      <c r="G55" s="519"/>
      <c r="H55" s="391"/>
      <c r="I55" s="396"/>
      <c r="J55" s="398"/>
      <c r="K55" s="161">
        <f t="shared" si="2"/>
        <v>0</v>
      </c>
      <c r="L55" s="332">
        <f t="shared" si="3"/>
        <v>0</v>
      </c>
      <c r="M55" s="145">
        <f t="shared" si="4"/>
        <v>0</v>
      </c>
      <c r="N55" s="64">
        <f t="shared" si="5"/>
        <v>0</v>
      </c>
      <c r="O55" s="64">
        <f t="shared" si="6"/>
        <v>0</v>
      </c>
      <c r="P55" s="65">
        <f t="shared" si="7"/>
        <v>0</v>
      </c>
      <c r="Q55" s="221">
        <f t="shared" si="8"/>
        <v>0</v>
      </c>
      <c r="R55" s="110"/>
      <c r="S55" s="218">
        <f t="shared" si="9"/>
        <v>0</v>
      </c>
      <c r="T55" s="219">
        <f t="shared" si="10"/>
        <v>0</v>
      </c>
      <c r="U55" s="219">
        <f t="shared" si="11"/>
        <v>0</v>
      </c>
      <c r="V55" s="219">
        <f t="shared" si="12"/>
        <v>0</v>
      </c>
      <c r="W55" s="336">
        <f t="shared" si="17"/>
        <v>0</v>
      </c>
      <c r="X55" s="213"/>
      <c r="Y55" s="213"/>
      <c r="Z55" s="213"/>
      <c r="AA55" s="213"/>
      <c r="AB55" s="1"/>
      <c r="AD55" s="67">
        <f t="shared" si="13"/>
        <v>0</v>
      </c>
      <c r="AE55" s="68">
        <f t="shared" si="14"/>
        <v>0</v>
      </c>
      <c r="AF55" s="69">
        <f t="shared" si="15"/>
        <v>0</v>
      </c>
      <c r="AG55" s="68">
        <f t="shared" si="16"/>
        <v>0</v>
      </c>
    </row>
    <row r="56" spans="1:35" x14ac:dyDescent="0.2">
      <c r="A56" s="503"/>
      <c r="B56" s="518"/>
      <c r="C56" s="518"/>
      <c r="D56" s="519"/>
      <c r="E56" s="520"/>
      <c r="F56" s="519"/>
      <c r="G56" s="519"/>
      <c r="H56" s="391"/>
      <c r="I56" s="396"/>
      <c r="J56" s="398"/>
      <c r="K56" s="161">
        <f t="shared" si="2"/>
        <v>0</v>
      </c>
      <c r="L56" s="332">
        <f t="shared" si="3"/>
        <v>0</v>
      </c>
      <c r="M56" s="145">
        <f t="shared" si="4"/>
        <v>0</v>
      </c>
      <c r="N56" s="64">
        <f t="shared" si="5"/>
        <v>0</v>
      </c>
      <c r="O56" s="64">
        <f t="shared" si="6"/>
        <v>0</v>
      </c>
      <c r="P56" s="65">
        <f t="shared" si="7"/>
        <v>0</v>
      </c>
      <c r="Q56" s="221">
        <f t="shared" si="8"/>
        <v>0</v>
      </c>
      <c r="R56" s="110"/>
      <c r="S56" s="218">
        <f t="shared" si="9"/>
        <v>0</v>
      </c>
      <c r="T56" s="219">
        <f t="shared" si="10"/>
        <v>0</v>
      </c>
      <c r="U56" s="219">
        <f t="shared" si="11"/>
        <v>0</v>
      </c>
      <c r="V56" s="219">
        <f t="shared" si="12"/>
        <v>0</v>
      </c>
      <c r="W56" s="336">
        <f t="shared" si="17"/>
        <v>0</v>
      </c>
      <c r="X56" s="213"/>
      <c r="Y56" s="213"/>
      <c r="Z56" s="213"/>
      <c r="AA56" s="213"/>
      <c r="AB56" s="1"/>
      <c r="AD56" s="67">
        <f t="shared" si="13"/>
        <v>0</v>
      </c>
      <c r="AE56" s="68">
        <f t="shared" si="14"/>
        <v>0</v>
      </c>
      <c r="AF56" s="69">
        <f t="shared" si="15"/>
        <v>0</v>
      </c>
      <c r="AG56" s="68">
        <f t="shared" si="16"/>
        <v>0</v>
      </c>
    </row>
    <row r="57" spans="1:35" x14ac:dyDescent="0.2">
      <c r="A57" s="503"/>
      <c r="B57" s="518"/>
      <c r="C57" s="518"/>
      <c r="D57" s="519"/>
      <c r="E57" s="520"/>
      <c r="F57" s="519"/>
      <c r="G57" s="519"/>
      <c r="H57" s="391"/>
      <c r="I57" s="396"/>
      <c r="J57" s="398"/>
      <c r="K57" s="161">
        <f t="shared" si="2"/>
        <v>0</v>
      </c>
      <c r="L57" s="332">
        <f t="shared" si="3"/>
        <v>0</v>
      </c>
      <c r="M57" s="145">
        <f t="shared" si="4"/>
        <v>0</v>
      </c>
      <c r="N57" s="64">
        <f t="shared" si="5"/>
        <v>0</v>
      </c>
      <c r="O57" s="64">
        <f t="shared" si="6"/>
        <v>0</v>
      </c>
      <c r="P57" s="65">
        <f t="shared" si="7"/>
        <v>0</v>
      </c>
      <c r="Q57" s="221">
        <f t="shared" si="8"/>
        <v>0</v>
      </c>
      <c r="R57" s="110"/>
      <c r="S57" s="218">
        <f t="shared" si="9"/>
        <v>0</v>
      </c>
      <c r="T57" s="219">
        <f t="shared" si="10"/>
        <v>0</v>
      </c>
      <c r="U57" s="219">
        <f t="shared" si="11"/>
        <v>0</v>
      </c>
      <c r="V57" s="219">
        <f t="shared" si="12"/>
        <v>0</v>
      </c>
      <c r="W57" s="336">
        <f t="shared" si="17"/>
        <v>0</v>
      </c>
      <c r="X57" s="213"/>
      <c r="Y57" s="213"/>
      <c r="Z57" s="213"/>
      <c r="AA57" s="213"/>
      <c r="AB57" s="1"/>
      <c r="AD57" s="67">
        <f t="shared" si="13"/>
        <v>0</v>
      </c>
      <c r="AE57" s="68">
        <f t="shared" si="14"/>
        <v>0</v>
      </c>
      <c r="AF57" s="69">
        <f t="shared" si="15"/>
        <v>0</v>
      </c>
      <c r="AG57" s="68">
        <f t="shared" si="16"/>
        <v>0</v>
      </c>
    </row>
    <row r="58" spans="1:35" x14ac:dyDescent="0.2">
      <c r="A58" s="503"/>
      <c r="B58" s="518"/>
      <c r="C58" s="518"/>
      <c r="D58" s="519"/>
      <c r="E58" s="520"/>
      <c r="F58" s="519"/>
      <c r="G58" s="519"/>
      <c r="H58" s="391"/>
      <c r="I58" s="396"/>
      <c r="J58" s="398"/>
      <c r="K58" s="161">
        <f t="shared" si="2"/>
        <v>0</v>
      </c>
      <c r="L58" s="332">
        <f t="shared" si="3"/>
        <v>0</v>
      </c>
      <c r="M58" s="145">
        <f t="shared" si="4"/>
        <v>0</v>
      </c>
      <c r="N58" s="64">
        <f t="shared" si="5"/>
        <v>0</v>
      </c>
      <c r="O58" s="64">
        <f t="shared" si="6"/>
        <v>0</v>
      </c>
      <c r="P58" s="65">
        <f t="shared" si="7"/>
        <v>0</v>
      </c>
      <c r="Q58" s="221">
        <f t="shared" si="8"/>
        <v>0</v>
      </c>
      <c r="R58" s="110"/>
      <c r="S58" s="218">
        <f t="shared" si="9"/>
        <v>0</v>
      </c>
      <c r="T58" s="219">
        <f t="shared" si="10"/>
        <v>0</v>
      </c>
      <c r="U58" s="219">
        <f t="shared" si="11"/>
        <v>0</v>
      </c>
      <c r="V58" s="219">
        <f t="shared" si="12"/>
        <v>0</v>
      </c>
      <c r="W58" s="336">
        <f t="shared" si="17"/>
        <v>0</v>
      </c>
      <c r="X58" s="213"/>
      <c r="Y58" s="213"/>
      <c r="Z58" s="213"/>
      <c r="AA58" s="213"/>
      <c r="AB58" s="1"/>
      <c r="AD58" s="67">
        <f t="shared" si="13"/>
        <v>0</v>
      </c>
      <c r="AE58" s="68">
        <f t="shared" si="14"/>
        <v>0</v>
      </c>
      <c r="AF58" s="69">
        <f t="shared" si="15"/>
        <v>0</v>
      </c>
      <c r="AG58" s="68">
        <f t="shared" si="16"/>
        <v>0</v>
      </c>
    </row>
    <row r="59" spans="1:35" x14ac:dyDescent="0.2">
      <c r="A59" s="503"/>
      <c r="B59" s="518"/>
      <c r="C59" s="518"/>
      <c r="D59" s="519"/>
      <c r="E59" s="520"/>
      <c r="F59" s="519"/>
      <c r="G59" s="519"/>
      <c r="H59" s="391"/>
      <c r="I59" s="396"/>
      <c r="J59" s="398"/>
      <c r="K59" s="161">
        <f t="shared" si="2"/>
        <v>0</v>
      </c>
      <c r="L59" s="332">
        <f t="shared" si="3"/>
        <v>0</v>
      </c>
      <c r="M59" s="145">
        <f t="shared" si="4"/>
        <v>0</v>
      </c>
      <c r="N59" s="64">
        <f t="shared" si="5"/>
        <v>0</v>
      </c>
      <c r="O59" s="64">
        <f t="shared" si="6"/>
        <v>0</v>
      </c>
      <c r="P59" s="65">
        <f t="shared" si="7"/>
        <v>0</v>
      </c>
      <c r="Q59" s="221">
        <f t="shared" si="8"/>
        <v>0</v>
      </c>
      <c r="R59" s="110"/>
      <c r="S59" s="218">
        <f t="shared" si="9"/>
        <v>0</v>
      </c>
      <c r="T59" s="219">
        <f t="shared" si="10"/>
        <v>0</v>
      </c>
      <c r="U59" s="219">
        <f t="shared" si="11"/>
        <v>0</v>
      </c>
      <c r="V59" s="219">
        <f t="shared" si="12"/>
        <v>0</v>
      </c>
      <c r="W59" s="336">
        <f t="shared" si="17"/>
        <v>0</v>
      </c>
      <c r="X59" s="213"/>
      <c r="Y59" s="213"/>
      <c r="Z59" s="213"/>
      <c r="AA59" s="213"/>
      <c r="AB59" s="1"/>
      <c r="AD59" s="67">
        <f t="shared" si="13"/>
        <v>0</v>
      </c>
      <c r="AE59" s="68">
        <f t="shared" si="14"/>
        <v>0</v>
      </c>
      <c r="AF59" s="69">
        <f t="shared" si="15"/>
        <v>0</v>
      </c>
      <c r="AG59" s="68">
        <f t="shared" si="16"/>
        <v>0</v>
      </c>
    </row>
    <row r="60" spans="1:35" x14ac:dyDescent="0.2">
      <c r="A60" s="503"/>
      <c r="B60" s="518"/>
      <c r="C60" s="518"/>
      <c r="D60" s="519"/>
      <c r="E60" s="520"/>
      <c r="F60" s="519"/>
      <c r="G60" s="519"/>
      <c r="H60" s="391"/>
      <c r="I60" s="396"/>
      <c r="J60" s="398"/>
      <c r="K60" s="161">
        <f t="shared" si="2"/>
        <v>0</v>
      </c>
      <c r="L60" s="332">
        <f t="shared" si="3"/>
        <v>0</v>
      </c>
      <c r="M60" s="145">
        <f t="shared" si="4"/>
        <v>0</v>
      </c>
      <c r="N60" s="64">
        <f t="shared" si="5"/>
        <v>0</v>
      </c>
      <c r="O60" s="64">
        <f t="shared" si="6"/>
        <v>0</v>
      </c>
      <c r="P60" s="65">
        <f t="shared" si="7"/>
        <v>0</v>
      </c>
      <c r="Q60" s="221">
        <f t="shared" si="8"/>
        <v>0</v>
      </c>
      <c r="R60" s="110"/>
      <c r="S60" s="218">
        <f t="shared" si="9"/>
        <v>0</v>
      </c>
      <c r="T60" s="219">
        <f t="shared" si="10"/>
        <v>0</v>
      </c>
      <c r="U60" s="219">
        <f t="shared" si="11"/>
        <v>0</v>
      </c>
      <c r="V60" s="219">
        <f t="shared" si="12"/>
        <v>0</v>
      </c>
      <c r="W60" s="336">
        <f t="shared" si="17"/>
        <v>0</v>
      </c>
      <c r="X60" s="213"/>
      <c r="Y60" s="213"/>
      <c r="Z60" s="213"/>
      <c r="AA60" s="213"/>
      <c r="AB60" s="1"/>
      <c r="AD60" s="67">
        <f t="shared" si="13"/>
        <v>0</v>
      </c>
      <c r="AE60" s="68">
        <f t="shared" si="14"/>
        <v>0</v>
      </c>
      <c r="AF60" s="69">
        <f t="shared" si="15"/>
        <v>0</v>
      </c>
      <c r="AG60" s="68">
        <f t="shared" si="16"/>
        <v>0</v>
      </c>
      <c r="AI60" s="152"/>
    </row>
    <row r="61" spans="1:35" x14ac:dyDescent="0.2">
      <c r="A61" s="503"/>
      <c r="B61" s="518"/>
      <c r="C61" s="518"/>
      <c r="D61" s="519"/>
      <c r="E61" s="520"/>
      <c r="F61" s="519"/>
      <c r="G61" s="519"/>
      <c r="H61" s="391"/>
      <c r="I61" s="396"/>
      <c r="J61" s="398"/>
      <c r="K61" s="161">
        <f t="shared" ref="K61:K63" si="18">IF(ISERROR(IF(A61="",L61*(Annual_Salary/12),L61*(VLOOKUP(A61,SalaryLimits,2,FALSE))/12)),0,IF(A61="",L61*(Annual_Salary/12),L61*(VLOOKUP(A61,SalaryLimits,2,FALSE))/12))</f>
        <v>0</v>
      </c>
      <c r="L61" s="332">
        <f t="shared" ref="L61:L63" si="19">IF(ISERROR(ROUND(IF(AND(I61="",A61=""),J61/(Annual_Salary/12),IF(AND(I61="",A61&lt;&gt;""),J61/(VLOOKUP(A61,SalaryLimits,2,FALSE)/12),I61)),4)),0,ROUND(IF(AND(I61="",A61=""),J61/(Annual_Salary/12),IF(AND(I61="",A61&lt;&gt;""),J61/(VLOOKUP(A61,SalaryLimits,2,FALSE)/12),I61)),4))</f>
        <v>0</v>
      </c>
      <c r="M61" s="145">
        <f t="shared" ref="M61:M63" si="20">IF(ISERROR(IF(L61&lt;M100,L61,M100)),0,IF(L61&lt;M100,L61,M100))</f>
        <v>0</v>
      </c>
      <c r="N61" s="64">
        <f t="shared" ref="N61:P61" si="21">IF(ISERROR(IF(AD61&lt;N100,AD61,N100)),0,IF(AD61&lt;N100,AD61,N100))</f>
        <v>0</v>
      </c>
      <c r="O61" s="64">
        <f t="shared" si="21"/>
        <v>0</v>
      </c>
      <c r="P61" s="65">
        <f t="shared" si="21"/>
        <v>0</v>
      </c>
      <c r="Q61" s="221">
        <f t="shared" ref="Q61:Q63" si="22">SUM(M61:P61)</f>
        <v>0</v>
      </c>
      <c r="R61" s="110"/>
      <c r="S61" s="218">
        <f t="shared" si="9"/>
        <v>0</v>
      </c>
      <c r="T61" s="219">
        <f t="shared" si="10"/>
        <v>0</v>
      </c>
      <c r="U61" s="219">
        <f t="shared" si="11"/>
        <v>0</v>
      </c>
      <c r="V61" s="219">
        <f t="shared" si="12"/>
        <v>0</v>
      </c>
      <c r="W61" s="336">
        <f t="shared" ref="W61:W63" si="23">SUM(S61:V61)</f>
        <v>0</v>
      </c>
      <c r="X61" s="213"/>
      <c r="Y61" s="213"/>
      <c r="Z61" s="213"/>
      <c r="AA61" s="213"/>
      <c r="AB61" s="583"/>
      <c r="AD61" s="67">
        <f t="shared" ref="AD61:AD63" si="24">L61-M61</f>
        <v>0</v>
      </c>
      <c r="AE61" s="68">
        <f t="shared" ref="AE61:AE63" si="25">L61-M61-N61</f>
        <v>0</v>
      </c>
      <c r="AF61" s="69">
        <f t="shared" ref="AF61:AF63" si="26">L61-M61-N61-O61</f>
        <v>0</v>
      </c>
      <c r="AG61" s="68">
        <f t="shared" ref="AG61:AG63" si="27">L61-M61-N61-O61-P61</f>
        <v>0</v>
      </c>
      <c r="AI61" s="152"/>
    </row>
    <row r="62" spans="1:35" x14ac:dyDescent="0.2">
      <c r="A62" s="503"/>
      <c r="B62" s="518"/>
      <c r="C62" s="518"/>
      <c r="D62" s="519"/>
      <c r="E62" s="520"/>
      <c r="F62" s="519"/>
      <c r="G62" s="519"/>
      <c r="H62" s="391"/>
      <c r="I62" s="396"/>
      <c r="J62" s="398"/>
      <c r="K62" s="161">
        <f t="shared" si="18"/>
        <v>0</v>
      </c>
      <c r="L62" s="332">
        <f t="shared" si="19"/>
        <v>0</v>
      </c>
      <c r="M62" s="145">
        <f t="shared" si="20"/>
        <v>0</v>
      </c>
      <c r="N62" s="64">
        <f t="shared" ref="N62:P62" si="28">IF(ISERROR(IF(AD62&lt;N101,AD62,N101)),0,IF(AD62&lt;N101,AD62,N101))</f>
        <v>0</v>
      </c>
      <c r="O62" s="64">
        <f t="shared" si="28"/>
        <v>0</v>
      </c>
      <c r="P62" s="65">
        <f t="shared" si="28"/>
        <v>0</v>
      </c>
      <c r="Q62" s="221">
        <f t="shared" si="22"/>
        <v>0</v>
      </c>
      <c r="R62" s="110"/>
      <c r="S62" s="218">
        <f t="shared" si="9"/>
        <v>0</v>
      </c>
      <c r="T62" s="219">
        <f t="shared" si="10"/>
        <v>0</v>
      </c>
      <c r="U62" s="219">
        <f t="shared" si="11"/>
        <v>0</v>
      </c>
      <c r="V62" s="219">
        <f t="shared" si="12"/>
        <v>0</v>
      </c>
      <c r="W62" s="336">
        <f t="shared" si="23"/>
        <v>0</v>
      </c>
      <c r="X62" s="213"/>
      <c r="Y62" s="213"/>
      <c r="Z62" s="213"/>
      <c r="AA62" s="213"/>
      <c r="AB62" s="583"/>
      <c r="AD62" s="67">
        <f t="shared" si="24"/>
        <v>0</v>
      </c>
      <c r="AE62" s="68">
        <f t="shared" si="25"/>
        <v>0</v>
      </c>
      <c r="AF62" s="69">
        <f t="shared" si="26"/>
        <v>0</v>
      </c>
      <c r="AG62" s="68">
        <f t="shared" si="27"/>
        <v>0</v>
      </c>
      <c r="AI62" s="152"/>
    </row>
    <row r="63" spans="1:35" x14ac:dyDescent="0.2">
      <c r="A63" s="503"/>
      <c r="B63" s="518"/>
      <c r="C63" s="518"/>
      <c r="D63" s="519"/>
      <c r="E63" s="520"/>
      <c r="F63" s="519"/>
      <c r="G63" s="519"/>
      <c r="H63" s="391"/>
      <c r="I63" s="396"/>
      <c r="J63" s="398"/>
      <c r="K63" s="161">
        <f t="shared" si="18"/>
        <v>0</v>
      </c>
      <c r="L63" s="332">
        <f t="shared" si="19"/>
        <v>0</v>
      </c>
      <c r="M63" s="145">
        <f t="shared" si="20"/>
        <v>0</v>
      </c>
      <c r="N63" s="64">
        <f t="shared" ref="N63:P63" si="29">IF(ISERROR(IF(AD63&lt;N102,AD63,N102)),0,IF(AD63&lt;N102,AD63,N102))</f>
        <v>0</v>
      </c>
      <c r="O63" s="64">
        <f t="shared" si="29"/>
        <v>0</v>
      </c>
      <c r="P63" s="65">
        <f t="shared" si="29"/>
        <v>0</v>
      </c>
      <c r="Q63" s="221">
        <f t="shared" si="22"/>
        <v>0</v>
      </c>
      <c r="R63" s="110"/>
      <c r="S63" s="218">
        <f t="shared" si="9"/>
        <v>0</v>
      </c>
      <c r="T63" s="219">
        <f t="shared" si="10"/>
        <v>0</v>
      </c>
      <c r="U63" s="219">
        <f t="shared" si="11"/>
        <v>0</v>
      </c>
      <c r="V63" s="219">
        <f t="shared" si="12"/>
        <v>0</v>
      </c>
      <c r="W63" s="336">
        <f t="shared" si="23"/>
        <v>0</v>
      </c>
      <c r="X63" s="213"/>
      <c r="Y63" s="213"/>
      <c r="Z63" s="213"/>
      <c r="AA63" s="213"/>
      <c r="AB63" s="583"/>
      <c r="AD63" s="67">
        <f t="shared" si="24"/>
        <v>0</v>
      </c>
      <c r="AE63" s="68">
        <f t="shared" si="25"/>
        <v>0</v>
      </c>
      <c r="AF63" s="69">
        <f t="shared" si="26"/>
        <v>0</v>
      </c>
      <c r="AG63" s="68">
        <f t="shared" si="27"/>
        <v>0</v>
      </c>
      <c r="AI63" s="152"/>
    </row>
    <row r="64" spans="1:35" x14ac:dyDescent="0.2">
      <c r="A64" s="503"/>
      <c r="B64" s="518"/>
      <c r="C64" s="518"/>
      <c r="D64" s="519"/>
      <c r="E64" s="520"/>
      <c r="F64" s="519"/>
      <c r="G64" s="519"/>
      <c r="H64" s="391"/>
      <c r="I64" s="396"/>
      <c r="J64" s="398"/>
      <c r="K64" s="161">
        <f t="shared" si="2"/>
        <v>0</v>
      </c>
      <c r="L64" s="332">
        <f t="shared" si="3"/>
        <v>0</v>
      </c>
      <c r="M64" s="145">
        <f t="shared" ref="M64:M65" si="30">IF(ISERROR(IF(L64&lt;M100,L64,M100)),0,IF(L64&lt;M100,L64,M100))</f>
        <v>0</v>
      </c>
      <c r="N64" s="64">
        <f t="shared" ref="N64:P65" si="31">IF(ISERROR(IF(AD64&lt;N100,AD64,N100)),0,IF(AD64&lt;N100,AD64,N100))</f>
        <v>0</v>
      </c>
      <c r="O64" s="64">
        <f t="shared" si="31"/>
        <v>0</v>
      </c>
      <c r="P64" s="65">
        <f t="shared" si="31"/>
        <v>0</v>
      </c>
      <c r="Q64" s="221">
        <f t="shared" si="8"/>
        <v>0</v>
      </c>
      <c r="R64" s="110"/>
      <c r="S64" s="218">
        <f t="shared" si="9"/>
        <v>0</v>
      </c>
      <c r="T64" s="219">
        <f t="shared" si="10"/>
        <v>0</v>
      </c>
      <c r="U64" s="219">
        <f t="shared" si="11"/>
        <v>0</v>
      </c>
      <c r="V64" s="219">
        <f t="shared" si="12"/>
        <v>0</v>
      </c>
      <c r="W64" s="336">
        <f t="shared" si="17"/>
        <v>0</v>
      </c>
      <c r="X64" s="213"/>
      <c r="Y64" s="213"/>
      <c r="Z64" s="213"/>
      <c r="AA64" s="213"/>
      <c r="AB64" s="1"/>
      <c r="AD64" s="67">
        <f>L64-M64</f>
        <v>0</v>
      </c>
      <c r="AE64" s="68">
        <f>L64-M64-N64</f>
        <v>0</v>
      </c>
      <c r="AF64" s="69">
        <f>L64-M64-N64-O64</f>
        <v>0</v>
      </c>
      <c r="AG64" s="68">
        <f>L64-M64-N64-O64-P64</f>
        <v>0</v>
      </c>
      <c r="AI64" s="152"/>
    </row>
    <row r="65" spans="1:35" ht="13.5" thickBot="1" x14ac:dyDescent="0.25">
      <c r="A65" s="523"/>
      <c r="B65" s="556"/>
      <c r="C65" s="556"/>
      <c r="D65" s="525"/>
      <c r="E65" s="524"/>
      <c r="F65" s="525"/>
      <c r="G65" s="519"/>
      <c r="H65" s="526"/>
      <c r="I65" s="527"/>
      <c r="J65" s="528"/>
      <c r="K65" s="529">
        <f t="shared" si="2"/>
        <v>0</v>
      </c>
      <c r="L65" s="530">
        <f t="shared" si="3"/>
        <v>0</v>
      </c>
      <c r="M65" s="531">
        <f t="shared" si="30"/>
        <v>0</v>
      </c>
      <c r="N65" s="112">
        <f t="shared" si="31"/>
        <v>0</v>
      </c>
      <c r="O65" s="112">
        <f t="shared" si="31"/>
        <v>0</v>
      </c>
      <c r="P65" s="532">
        <f t="shared" si="31"/>
        <v>0</v>
      </c>
      <c r="Q65" s="533">
        <f t="shared" si="8"/>
        <v>0</v>
      </c>
      <c r="R65" s="110"/>
      <c r="S65" s="592">
        <f t="shared" si="9"/>
        <v>0</v>
      </c>
      <c r="T65" s="593">
        <f t="shared" si="10"/>
        <v>0</v>
      </c>
      <c r="U65" s="593">
        <f t="shared" si="11"/>
        <v>0</v>
      </c>
      <c r="V65" s="593">
        <f t="shared" si="12"/>
        <v>0</v>
      </c>
      <c r="W65" s="594">
        <f t="shared" si="17"/>
        <v>0</v>
      </c>
      <c r="X65" s="213"/>
      <c r="Y65" s="213"/>
      <c r="Z65" s="213"/>
      <c r="AA65" s="213"/>
      <c r="AB65" s="1"/>
      <c r="AD65" s="67">
        <f>L65-M65</f>
        <v>0</v>
      </c>
      <c r="AE65" s="68">
        <f>L65-M65-N65</f>
        <v>0</v>
      </c>
      <c r="AF65" s="69">
        <f>L65-M65-N65-O65</f>
        <v>0</v>
      </c>
      <c r="AG65" s="68">
        <f>L65-M65-N65-O65-P65</f>
        <v>0</v>
      </c>
    </row>
    <row r="66" spans="1:35" ht="13.5" thickBot="1" x14ac:dyDescent="0.25">
      <c r="A66" s="534"/>
      <c r="B66" s="535"/>
      <c r="C66" s="535"/>
      <c r="D66" s="536"/>
      <c r="E66" s="537" t="s">
        <v>12</v>
      </c>
      <c r="F66" s="538"/>
      <c r="G66" s="538"/>
      <c r="H66" s="539"/>
      <c r="I66" s="540"/>
      <c r="J66" s="541"/>
      <c r="K66" s="542">
        <f t="shared" ref="K66:Q66" si="32">SUM(K43:K65)</f>
        <v>0</v>
      </c>
      <c r="L66" s="543">
        <f t="shared" si="32"/>
        <v>0</v>
      </c>
      <c r="M66" s="544">
        <f t="shared" si="32"/>
        <v>0</v>
      </c>
      <c r="N66" s="545">
        <f t="shared" si="32"/>
        <v>0</v>
      </c>
      <c r="O66" s="545">
        <f t="shared" si="32"/>
        <v>0</v>
      </c>
      <c r="P66" s="543">
        <f t="shared" si="32"/>
        <v>0</v>
      </c>
      <c r="Q66" s="333">
        <f t="shared" si="32"/>
        <v>0</v>
      </c>
      <c r="R66" s="110"/>
      <c r="S66" s="595">
        <f>ROUND(SUM(S43:S65),2)</f>
        <v>0</v>
      </c>
      <c r="T66" s="596">
        <f>ROUND(SUM(T43:T65),2)</f>
        <v>0</v>
      </c>
      <c r="U66" s="596">
        <f>ROUND(SUM(U43:U65),2)</f>
        <v>0</v>
      </c>
      <c r="V66" s="597">
        <f>ROUND(SUM(V43:V65),2)</f>
        <v>0</v>
      </c>
      <c r="W66" s="591">
        <f>SUM(W43:W65)</f>
        <v>0</v>
      </c>
      <c r="X66" s="214"/>
      <c r="Y66" s="214"/>
      <c r="Z66" s="214"/>
      <c r="AA66" s="214"/>
      <c r="AD66" s="68">
        <f>SUM(AD43:AD65)</f>
        <v>0</v>
      </c>
      <c r="AE66" s="68">
        <f>SUM(AE43:AE65)</f>
        <v>0</v>
      </c>
      <c r="AF66" s="68">
        <f>SUM(AF43:AF65)</f>
        <v>0</v>
      </c>
      <c r="AG66" s="68">
        <f>SUM(AG43:AG65)</f>
        <v>0</v>
      </c>
      <c r="AI66" s="152"/>
    </row>
    <row r="67" spans="1:35" x14ac:dyDescent="0.2">
      <c r="A67" s="253" t="s">
        <v>80</v>
      </c>
      <c r="B67" s="499"/>
      <c r="C67" s="499"/>
      <c r="D67" s="499"/>
      <c r="E67" s="320"/>
      <c r="F67" s="320"/>
      <c r="G67" s="320"/>
      <c r="H67" s="320"/>
      <c r="I67" s="320"/>
      <c r="J67" s="320"/>
      <c r="K67" s="320"/>
      <c r="L67" s="320"/>
      <c r="M67" s="320"/>
      <c r="N67" s="320"/>
      <c r="O67" s="320"/>
      <c r="P67" s="320"/>
      <c r="Q67" s="320"/>
      <c r="R67" s="320"/>
      <c r="S67" s="214"/>
      <c r="T67" s="214"/>
      <c r="U67" s="214"/>
      <c r="V67" s="214"/>
      <c r="W67" s="214"/>
      <c r="X67" s="214"/>
      <c r="Y67" s="214"/>
      <c r="Z67" s="214"/>
      <c r="AC67" s="134"/>
      <c r="AD67" s="134"/>
      <c r="AE67" s="134"/>
      <c r="AF67" s="134"/>
      <c r="AH67" s="152"/>
    </row>
    <row r="68" spans="1:35" x14ac:dyDescent="0.2">
      <c r="A68" s="52" t="s">
        <v>72</v>
      </c>
      <c r="B68" s="52"/>
      <c r="C68" s="52"/>
      <c r="D68" s="52"/>
      <c r="E68" s="321"/>
      <c r="F68" s="322"/>
      <c r="G68" s="322"/>
      <c r="H68" s="323"/>
      <c r="I68" s="323"/>
      <c r="J68" s="323"/>
      <c r="K68" s="324"/>
      <c r="L68" s="325"/>
      <c r="M68" s="325"/>
      <c r="N68" s="325"/>
      <c r="O68" s="325"/>
      <c r="P68" s="325"/>
      <c r="Q68" s="325"/>
      <c r="R68" s="133"/>
      <c r="S68" s="214"/>
      <c r="T68" s="318"/>
      <c r="U68" s="318"/>
      <c r="V68" s="214"/>
      <c r="W68" s="214"/>
      <c r="X68" s="214"/>
      <c r="Y68" s="214"/>
      <c r="Z68" s="214"/>
      <c r="AC68" s="134"/>
      <c r="AD68" s="134"/>
      <c r="AE68" s="134"/>
      <c r="AF68" s="134"/>
      <c r="AH68" s="152"/>
    </row>
    <row r="69" spans="1:35" x14ac:dyDescent="0.2">
      <c r="A69" s="650"/>
      <c r="B69" s="651"/>
      <c r="C69" s="651"/>
      <c r="D69" s="651"/>
      <c r="E69" s="651"/>
      <c r="F69" s="651"/>
      <c r="G69" s="651"/>
      <c r="H69" s="651"/>
      <c r="I69" s="651"/>
      <c r="J69" s="651"/>
      <c r="K69" s="651"/>
      <c r="L69" s="651"/>
      <c r="M69" s="651"/>
      <c r="N69" s="651"/>
      <c r="O69" s="651"/>
      <c r="P69" s="651"/>
      <c r="Q69" s="652"/>
      <c r="R69" s="133"/>
      <c r="S69" s="214" t="s">
        <v>104</v>
      </c>
      <c r="T69" s="641"/>
      <c r="U69" s="642"/>
      <c r="V69" s="643"/>
      <c r="W69" s="214"/>
      <c r="X69" s="214"/>
      <c r="Y69" s="214"/>
      <c r="Z69" s="214"/>
      <c r="AC69" s="134"/>
      <c r="AD69" s="134"/>
      <c r="AE69" s="134"/>
      <c r="AF69" s="134"/>
      <c r="AH69" s="152"/>
    </row>
    <row r="70" spans="1:35" x14ac:dyDescent="0.2">
      <c r="A70" s="653"/>
      <c r="B70" s="654"/>
      <c r="C70" s="654"/>
      <c r="D70" s="654"/>
      <c r="E70" s="654"/>
      <c r="F70" s="654"/>
      <c r="G70" s="654"/>
      <c r="H70" s="654"/>
      <c r="I70" s="654"/>
      <c r="J70" s="654"/>
      <c r="K70" s="654"/>
      <c r="L70" s="654"/>
      <c r="M70" s="654"/>
      <c r="N70" s="654"/>
      <c r="O70" s="654"/>
      <c r="P70" s="654"/>
      <c r="Q70" s="655"/>
      <c r="R70" s="133"/>
      <c r="S70" s="273"/>
      <c r="T70" s="644"/>
      <c r="U70" s="645"/>
      <c r="V70" s="646"/>
      <c r="W70" s="214"/>
      <c r="X70" s="214"/>
      <c r="Y70" s="214"/>
      <c r="Z70" s="214"/>
      <c r="AC70" s="134"/>
      <c r="AD70" s="134"/>
      <c r="AE70" s="134"/>
      <c r="AF70" s="134"/>
      <c r="AH70" s="152"/>
    </row>
    <row r="71" spans="1:35" x14ac:dyDescent="0.2">
      <c r="A71" s="656"/>
      <c r="B71" s="657"/>
      <c r="C71" s="657"/>
      <c r="D71" s="657"/>
      <c r="E71" s="657"/>
      <c r="F71" s="657"/>
      <c r="G71" s="657"/>
      <c r="H71" s="657"/>
      <c r="I71" s="657"/>
      <c r="J71" s="657"/>
      <c r="K71" s="657"/>
      <c r="L71" s="657"/>
      <c r="M71" s="657"/>
      <c r="N71" s="657"/>
      <c r="O71" s="657"/>
      <c r="P71" s="657"/>
      <c r="Q71" s="658"/>
      <c r="R71" s="133"/>
      <c r="S71" s="273" t="s">
        <v>103</v>
      </c>
      <c r="T71" s="647"/>
      <c r="U71" s="648"/>
      <c r="V71" s="649"/>
      <c r="W71" s="214"/>
      <c r="X71" s="214"/>
      <c r="Y71" s="214"/>
      <c r="Z71" s="214"/>
      <c r="AC71" s="134"/>
      <c r="AD71" s="134"/>
      <c r="AE71" s="134"/>
      <c r="AF71" s="134"/>
      <c r="AH71" s="152"/>
    </row>
    <row r="72" spans="1:35" x14ac:dyDescent="0.2">
      <c r="A72" s="30"/>
      <c r="B72" s="30"/>
      <c r="C72" s="30"/>
      <c r="D72" s="30"/>
      <c r="F72" s="52"/>
      <c r="G72" s="52"/>
      <c r="H72" s="52"/>
      <c r="I72" s="52"/>
      <c r="J72" s="52"/>
      <c r="K72" s="215"/>
      <c r="L72" s="133"/>
      <c r="M72" s="133"/>
      <c r="N72" s="133"/>
      <c r="O72" s="133"/>
      <c r="P72" s="133"/>
      <c r="Q72" s="133"/>
      <c r="R72" s="133"/>
      <c r="S72" s="214"/>
      <c r="T72" s="522"/>
      <c r="V72" s="214"/>
      <c r="W72" s="214"/>
      <c r="X72" s="214"/>
      <c r="Y72" s="214"/>
      <c r="Z72" s="214"/>
      <c r="AA72" s="214"/>
      <c r="AD72" s="134"/>
      <c r="AE72" s="134"/>
      <c r="AF72" s="134"/>
      <c r="AG72" s="134"/>
    </row>
    <row r="73" spans="1:35" x14ac:dyDescent="0.2">
      <c r="A73" s="30"/>
      <c r="B73" s="30"/>
      <c r="C73" s="30"/>
      <c r="D73" s="30"/>
      <c r="E73" s="52"/>
      <c r="F73" s="52"/>
      <c r="G73" s="52"/>
      <c r="H73" s="52"/>
      <c r="I73" s="52"/>
      <c r="J73" s="52"/>
      <c r="K73" s="215"/>
      <c r="L73" s="133"/>
      <c r="M73" s="133"/>
      <c r="N73" s="133"/>
      <c r="O73" s="133"/>
      <c r="P73" s="133"/>
      <c r="Q73" s="133"/>
      <c r="R73" s="133"/>
      <c r="S73" s="214"/>
      <c r="T73" s="214"/>
      <c r="U73" s="214"/>
      <c r="V73" s="214"/>
      <c r="W73" s="214"/>
      <c r="X73" s="214"/>
      <c r="Y73" s="214"/>
      <c r="Z73" s="214"/>
      <c r="AA73" s="214"/>
      <c r="AD73" s="134"/>
      <c r="AE73" s="134"/>
      <c r="AF73" s="134"/>
      <c r="AG73" s="134"/>
    </row>
    <row r="74" spans="1:35" x14ac:dyDescent="0.2">
      <c r="A74" s="30"/>
      <c r="B74" s="30"/>
      <c r="C74" s="30"/>
      <c r="D74" s="30"/>
      <c r="E74" s="52"/>
      <c r="F74" s="52"/>
      <c r="G74" s="52"/>
      <c r="H74" s="52"/>
      <c r="I74" s="52"/>
      <c r="J74" s="52"/>
      <c r="K74" s="215"/>
      <c r="L74" s="133"/>
      <c r="M74" s="133"/>
      <c r="N74" s="133"/>
      <c r="O74" s="133"/>
      <c r="P74" s="133"/>
      <c r="Q74" s="133"/>
      <c r="R74" s="133"/>
      <c r="S74" s="214"/>
      <c r="T74" s="214"/>
      <c r="U74" s="214"/>
      <c r="V74" s="214"/>
      <c r="W74" s="214"/>
      <c r="X74" s="214"/>
      <c r="Y74" s="214"/>
      <c r="Z74" s="214"/>
      <c r="AA74" s="214"/>
      <c r="AD74" s="134"/>
      <c r="AE74" s="134"/>
      <c r="AF74" s="134"/>
      <c r="AG74" s="134"/>
    </row>
    <row r="75" spans="1:35" x14ac:dyDescent="0.2">
      <c r="A75" s="30"/>
      <c r="B75" s="30"/>
      <c r="C75" s="30"/>
      <c r="D75" s="30"/>
      <c r="E75" s="52"/>
      <c r="F75" s="52"/>
      <c r="G75" s="52"/>
      <c r="H75" s="52"/>
      <c r="I75" s="52"/>
      <c r="J75" s="52"/>
      <c r="K75" s="215"/>
      <c r="L75" s="133"/>
      <c r="M75" s="133"/>
      <c r="N75" s="133"/>
      <c r="O75" s="133"/>
      <c r="P75" s="133"/>
      <c r="Q75" s="133"/>
      <c r="R75" s="133"/>
      <c r="S75" s="214"/>
      <c r="T75" s="214"/>
      <c r="U75" s="214"/>
      <c r="V75" s="214"/>
      <c r="W75" s="214"/>
      <c r="X75" s="214"/>
      <c r="Y75" s="214"/>
      <c r="Z75" s="214"/>
      <c r="AA75" s="214"/>
      <c r="AD75" s="134"/>
      <c r="AE75" s="134"/>
      <c r="AF75" s="134"/>
      <c r="AG75" s="134"/>
    </row>
    <row r="76" spans="1:35" x14ac:dyDescent="0.2">
      <c r="A76" s="30"/>
      <c r="B76" s="30"/>
      <c r="C76" s="30"/>
      <c r="D76" s="30"/>
      <c r="E76" s="52"/>
      <c r="F76" s="52"/>
      <c r="G76" s="52"/>
      <c r="H76" s="52"/>
      <c r="I76" s="52"/>
      <c r="J76" s="52"/>
      <c r="K76" s="215"/>
      <c r="L76" s="133"/>
      <c r="M76" s="133"/>
      <c r="N76" s="133"/>
      <c r="O76" s="133"/>
      <c r="P76" s="133"/>
      <c r="Q76" s="133"/>
      <c r="R76" s="133"/>
      <c r="S76" s="214"/>
      <c r="T76" s="214"/>
      <c r="U76" s="214"/>
      <c r="V76" s="214"/>
      <c r="W76" s="214"/>
      <c r="X76" s="214"/>
      <c r="Y76" s="214"/>
      <c r="Z76" s="214"/>
      <c r="AA76" s="214"/>
      <c r="AD76" s="134"/>
      <c r="AE76" s="134"/>
      <c r="AF76" s="134"/>
      <c r="AG76" s="134"/>
    </row>
    <row r="77" spans="1:35" x14ac:dyDescent="0.2">
      <c r="A77" s="30"/>
      <c r="B77" s="30"/>
      <c r="C77" s="30"/>
      <c r="D77" s="30"/>
      <c r="E77" s="52"/>
      <c r="F77" s="52"/>
      <c r="G77" s="52"/>
      <c r="H77" s="52"/>
      <c r="I77" s="52"/>
      <c r="J77" s="52"/>
      <c r="K77" s="215"/>
      <c r="L77" s="133"/>
      <c r="M77" s="133"/>
      <c r="N77" s="133"/>
      <c r="O77" s="133"/>
      <c r="P77" s="133"/>
      <c r="Q77" s="133"/>
      <c r="R77" s="133"/>
      <c r="S77" s="214"/>
      <c r="T77" s="214"/>
      <c r="U77" s="214"/>
      <c r="V77" s="214"/>
      <c r="W77" s="214"/>
      <c r="X77" s="214"/>
      <c r="Y77" s="214"/>
      <c r="Z77" s="214"/>
      <c r="AA77" s="214"/>
      <c r="AD77" s="134"/>
      <c r="AE77" s="134"/>
      <c r="AF77" s="134"/>
      <c r="AG77" s="134"/>
    </row>
    <row r="78" spans="1:35" x14ac:dyDescent="0.2">
      <c r="A78" s="30"/>
      <c r="B78" s="30"/>
      <c r="C78" s="30"/>
      <c r="D78" s="30"/>
      <c r="E78" s="52"/>
      <c r="F78" s="52"/>
      <c r="G78" s="52"/>
      <c r="H78" s="52"/>
      <c r="I78" s="52"/>
      <c r="J78" s="52"/>
      <c r="K78" s="215"/>
      <c r="L78" s="133"/>
      <c r="M78" s="133"/>
      <c r="N78" s="133"/>
      <c r="O78" s="133"/>
      <c r="P78" s="133"/>
      <c r="Q78" s="133"/>
      <c r="R78" s="133"/>
      <c r="S78" s="214"/>
      <c r="T78" s="214"/>
      <c r="U78" s="214"/>
      <c r="V78" s="214"/>
      <c r="W78" s="214"/>
      <c r="X78" s="214"/>
      <c r="Y78" s="214"/>
      <c r="Z78" s="214"/>
      <c r="AA78" s="214"/>
      <c r="AD78" s="134"/>
      <c r="AE78" s="134"/>
      <c r="AF78" s="134"/>
      <c r="AG78" s="134"/>
    </row>
    <row r="79" spans="1:35" x14ac:dyDescent="0.2">
      <c r="A79" s="30"/>
      <c r="B79" s="30"/>
      <c r="C79" s="30"/>
      <c r="D79" s="30"/>
      <c r="E79" s="52"/>
      <c r="F79" s="52"/>
      <c r="G79" s="52"/>
      <c r="H79" s="52"/>
      <c r="I79" s="52"/>
      <c r="J79" s="52"/>
      <c r="K79" s="215"/>
      <c r="L79" s="133"/>
      <c r="M79" s="133"/>
      <c r="N79" s="133"/>
      <c r="O79" s="133"/>
      <c r="P79" s="133"/>
      <c r="Q79" s="133"/>
      <c r="R79" s="133"/>
      <c r="S79" s="214"/>
      <c r="T79" s="214"/>
      <c r="U79" s="214"/>
      <c r="V79" s="214"/>
      <c r="W79" s="214"/>
      <c r="X79" s="214"/>
      <c r="Y79" s="214"/>
      <c r="Z79" s="214"/>
      <c r="AA79" s="214"/>
      <c r="AD79" s="134"/>
      <c r="AE79" s="134"/>
      <c r="AF79" s="134"/>
      <c r="AG79" s="134"/>
    </row>
    <row r="80" spans="1:35" x14ac:dyDescent="0.2">
      <c r="A80" s="30"/>
      <c r="B80" s="30"/>
      <c r="C80" s="30"/>
      <c r="D80" s="30"/>
      <c r="E80" s="52"/>
      <c r="F80" s="52"/>
      <c r="G80" s="52"/>
      <c r="H80" s="52"/>
      <c r="I80" s="52"/>
      <c r="J80" s="52"/>
      <c r="K80" s="215"/>
      <c r="L80" s="133"/>
      <c r="M80" s="133"/>
      <c r="N80" s="133"/>
      <c r="O80" s="133"/>
      <c r="P80" s="133"/>
      <c r="Q80" s="133"/>
      <c r="R80" s="133"/>
      <c r="S80" s="214"/>
      <c r="T80" s="214"/>
      <c r="U80" s="214"/>
      <c r="V80" s="214"/>
      <c r="W80" s="214"/>
      <c r="X80" s="214"/>
      <c r="Y80" s="214"/>
      <c r="Z80" s="214"/>
      <c r="AA80" s="214"/>
      <c r="AD80" s="134"/>
      <c r="AE80" s="134"/>
      <c r="AF80" s="134"/>
      <c r="AG80" s="134"/>
    </row>
    <row r="81" spans="5:39" ht="13.5" hidden="1" thickBot="1" x14ac:dyDescent="0.25">
      <c r="J81" s="152"/>
      <c r="AC81" s="81"/>
      <c r="AD81" s="81"/>
      <c r="AE81" s="81"/>
      <c r="AF81" s="81"/>
      <c r="AG81" s="81"/>
      <c r="AL81">
        <v>0.27</v>
      </c>
      <c r="AM81" t="s">
        <v>31</v>
      </c>
    </row>
    <row r="82" spans="5:39" ht="13.5" hidden="1" thickBot="1" x14ac:dyDescent="0.25">
      <c r="E82" s="73" t="s">
        <v>13</v>
      </c>
      <c r="F82" s="76"/>
      <c r="G82" s="76"/>
      <c r="H82" s="13" t="s">
        <v>10</v>
      </c>
      <c r="I82" s="128"/>
      <c r="J82" s="128"/>
      <c r="K82" s="128"/>
      <c r="L82" s="128"/>
      <c r="M82" s="150">
        <f>ROUND(IF(ISERROR($H$31*(M37/Annual_Salary)),0,$H$31*(M37/Annual_Salary)),4)</f>
        <v>0</v>
      </c>
      <c r="N82" s="150">
        <f>ROUND(IF(ISERROR($H$31*((N37)/Annual_Salary)),0,$H$31*((N37)/Annual_Salary)),4)</f>
        <v>0</v>
      </c>
      <c r="O82" s="150">
        <f>ROUND(IF(ISERROR($H$31*((O37)/Annual_Salary)),0,$H$31*((O37)/Annual_Salary)),4)</f>
        <v>0</v>
      </c>
      <c r="P82" s="151">
        <f>IF(ISERROR($H$31-SUM(M82:O82)),0,$H$31-SUM(M82:O82))</f>
        <v>0</v>
      </c>
      <c r="Q82" s="66">
        <f t="shared" ref="Q82:Q102" si="33">SUM(M82:P82)</f>
        <v>0</v>
      </c>
      <c r="R82" s="133"/>
      <c r="S82" s="140"/>
      <c r="T82" s="133"/>
      <c r="U82" s="211"/>
      <c r="V82" s="133"/>
      <c r="W82" s="133"/>
      <c r="X82" s="133"/>
      <c r="Y82" s="133"/>
      <c r="Z82" s="133"/>
      <c r="AA82" s="133"/>
      <c r="AC82" s="94"/>
      <c r="AD82" s="34"/>
      <c r="AE82" s="34"/>
      <c r="AF82" s="34"/>
      <c r="AG82" s="78"/>
      <c r="AL82" s="70">
        <f>SUM(AL46:AL81)</f>
        <v>0.27</v>
      </c>
    </row>
    <row r="83" spans="5:39" hidden="1" x14ac:dyDescent="0.2">
      <c r="E83" s="74" t="s">
        <v>14</v>
      </c>
      <c r="F83" s="77"/>
      <c r="G83" s="77"/>
      <c r="H83" s="3"/>
      <c r="I83" s="3"/>
      <c r="J83" s="3"/>
      <c r="K83" s="3"/>
      <c r="L83" s="3"/>
      <c r="M83" s="69">
        <f>IF(ISERROR(M82-M43),0,M82-M43)</f>
        <v>0</v>
      </c>
      <c r="N83" s="69">
        <f>IF(ISERROR(N82-N43),0,N82-N43)</f>
        <v>0</v>
      </c>
      <c r="O83" s="69">
        <f>IF(ISERROR(O82-O43),0,O82-O43)</f>
        <v>0</v>
      </c>
      <c r="P83" s="69">
        <f>IF(ISERROR(P82-P43),0,P82-P43)</f>
        <v>0</v>
      </c>
      <c r="Q83" s="68">
        <f t="shared" si="33"/>
        <v>0</v>
      </c>
      <c r="R83" s="134"/>
      <c r="S83" s="134"/>
      <c r="T83" s="134"/>
      <c r="U83" s="134"/>
      <c r="V83" s="134"/>
      <c r="W83" s="134"/>
      <c r="X83" s="134"/>
      <c r="Y83" s="134"/>
      <c r="Z83" s="134"/>
      <c r="AA83" s="134"/>
      <c r="AC83" s="80"/>
      <c r="AD83" s="91"/>
      <c r="AE83" s="87"/>
      <c r="AF83" s="91"/>
      <c r="AG83" s="127"/>
    </row>
    <row r="84" spans="5:39" hidden="1" x14ac:dyDescent="0.2">
      <c r="E84" s="74" t="s">
        <v>15</v>
      </c>
      <c r="F84" s="77"/>
      <c r="G84" s="77"/>
      <c r="H84" s="9" t="s">
        <v>11</v>
      </c>
      <c r="I84" s="9"/>
      <c r="J84" s="9"/>
      <c r="K84" s="9"/>
      <c r="L84" s="9"/>
      <c r="M84" s="68">
        <f>IF(ISERROR(M82-M43-M44),0,M82-M43-M44)</f>
        <v>0</v>
      </c>
      <c r="N84" s="68">
        <f>IF(ISERROR(N82-N43-N44),0,N82-N43-N44)</f>
        <v>0</v>
      </c>
      <c r="O84" s="68">
        <f>IF(ISERROR(O82-O43-O44),0,O82-O43-O44)</f>
        <v>0</v>
      </c>
      <c r="P84" s="68">
        <f>IF(ISERROR(P82-P43-P44),0,P82-P43-P44)</f>
        <v>0</v>
      </c>
      <c r="Q84" s="68">
        <f t="shared" si="33"/>
        <v>0</v>
      </c>
      <c r="R84" s="134"/>
      <c r="S84" s="134"/>
      <c r="T84" s="134">
        <f>T83-T82</f>
        <v>0</v>
      </c>
      <c r="U84" s="134"/>
      <c r="V84" s="134"/>
      <c r="W84" s="134"/>
      <c r="X84" s="134"/>
      <c r="Y84" s="134"/>
      <c r="Z84" s="134"/>
      <c r="AA84" s="134"/>
      <c r="AC84" s="95"/>
      <c r="AD84" s="78"/>
      <c r="AE84" s="96"/>
      <c r="AF84" s="34"/>
      <c r="AG84" s="88"/>
    </row>
    <row r="85" spans="5:39" hidden="1" x14ac:dyDescent="0.2">
      <c r="E85" s="75"/>
      <c r="F85" s="78"/>
      <c r="G85" s="78"/>
      <c r="H85" s="7"/>
      <c r="I85" s="7"/>
      <c r="J85" s="7"/>
      <c r="K85" s="7"/>
      <c r="L85" s="7"/>
      <c r="M85" s="69">
        <f>IF(ISERROR(M82-M43-M44-M45),0,M82-M43-M44-M45)</f>
        <v>0</v>
      </c>
      <c r="N85" s="69">
        <f>IF(ISERROR(N82-N43-N44-N45),0,N82-N43-N44-N45)</f>
        <v>0</v>
      </c>
      <c r="O85" s="69">
        <f>IF(ISERROR(O82-O43-O44-O45),0,O82-O43-O44-O45)</f>
        <v>0</v>
      </c>
      <c r="P85" s="69">
        <f>IF(ISERROR(P82-P43-P44-P45),0,P82-P43-P44-P45)</f>
        <v>0</v>
      </c>
      <c r="Q85" s="68">
        <f t="shared" si="33"/>
        <v>0</v>
      </c>
      <c r="R85" s="134"/>
      <c r="S85" s="134"/>
      <c r="T85" s="134"/>
      <c r="U85" s="134"/>
      <c r="V85" s="134"/>
      <c r="W85" s="134"/>
      <c r="X85" s="134"/>
      <c r="Y85" s="134"/>
      <c r="Z85" s="134"/>
      <c r="AA85" s="134"/>
      <c r="AC85" s="84"/>
      <c r="AD85" s="86"/>
      <c r="AE85" s="85"/>
      <c r="AF85" s="85"/>
      <c r="AG85" s="86"/>
    </row>
    <row r="86" spans="5:39" hidden="1" x14ac:dyDescent="0.2">
      <c r="E86" s="75"/>
      <c r="F86" s="78"/>
      <c r="G86" s="78"/>
      <c r="H86" s="7"/>
      <c r="I86" s="7"/>
      <c r="J86" s="7"/>
      <c r="K86" s="7"/>
      <c r="L86" s="7"/>
      <c r="M86" s="68">
        <f>IF(ISERROR(M82-M43-M44-M45-M46),0,M82-M43-M44-M45-M46)</f>
        <v>0</v>
      </c>
      <c r="N86" s="68">
        <f>IF(ISERROR(N82-N43-N44-N45-N46),0,N82-N43-N44-N45-N46)</f>
        <v>0</v>
      </c>
      <c r="O86" s="68">
        <f>IF(ISERROR(O82-O43-O44-O45-O46),0,O82-O43-O44-O45-O46)</f>
        <v>0</v>
      </c>
      <c r="P86" s="68">
        <f>IF(ISERROR(P82-P43-P44-P45-P46),0,P82-P43-P44-P45-P46)</f>
        <v>0</v>
      </c>
      <c r="Q86" s="68">
        <f t="shared" si="33"/>
        <v>0</v>
      </c>
      <c r="R86" s="134"/>
      <c r="S86" s="134"/>
      <c r="T86" s="134"/>
      <c r="U86" s="134"/>
      <c r="V86" s="134"/>
      <c r="W86" s="134"/>
      <c r="X86" s="134"/>
      <c r="Y86" s="134"/>
      <c r="Z86" s="134"/>
      <c r="AA86" s="134"/>
      <c r="AC86" s="89"/>
      <c r="AD86" s="93"/>
      <c r="AE86" s="91"/>
      <c r="AF86" s="92"/>
      <c r="AG86" s="93"/>
    </row>
    <row r="87" spans="5:39" hidden="1" x14ac:dyDescent="0.2">
      <c r="E87" s="75"/>
      <c r="F87" s="78"/>
      <c r="G87" s="78"/>
      <c r="H87" s="7"/>
      <c r="I87" s="7"/>
      <c r="J87" s="7"/>
      <c r="K87" s="7"/>
      <c r="L87" s="7"/>
      <c r="M87" s="69">
        <f>IF(ISERROR(M82-M43-M44-M45-M46-M47),0,M82-M43-M44-M45-M46-M47)</f>
        <v>0</v>
      </c>
      <c r="N87" s="69">
        <f>IF(ISERROR(N82-N43-N44-N45-N46-N47),0,N82-N43-N44-N45-N46-N47)</f>
        <v>0</v>
      </c>
      <c r="O87" s="69">
        <f>IF(ISERROR(O82-O43-O44-O45-O46-O47),0,O82-O43-O44-O45-O46-O47)</f>
        <v>0</v>
      </c>
      <c r="P87" s="69">
        <f>IF(ISERROR(P82-P43-P44-P45-P46-P47),0,P82-P43-P44-P45-P46-P47)</f>
        <v>0</v>
      </c>
      <c r="Q87" s="68">
        <f t="shared" si="33"/>
        <v>0</v>
      </c>
      <c r="R87" s="134"/>
      <c r="S87" s="134"/>
      <c r="T87" s="134"/>
      <c r="U87" s="134"/>
      <c r="V87" s="134"/>
      <c r="W87" s="134"/>
      <c r="X87" s="134"/>
      <c r="Y87" s="134"/>
      <c r="Z87" s="134"/>
      <c r="AA87" s="134"/>
      <c r="AC87" s="89"/>
      <c r="AD87" s="111"/>
      <c r="AE87" s="91"/>
      <c r="AF87" s="90"/>
      <c r="AG87" s="97"/>
    </row>
    <row r="88" spans="5:39" hidden="1" x14ac:dyDescent="0.2">
      <c r="E88" s="75"/>
      <c r="F88" s="78"/>
      <c r="G88" s="78"/>
      <c r="H88" s="7"/>
      <c r="I88" s="7"/>
      <c r="J88" s="7"/>
      <c r="K88" s="7"/>
      <c r="L88" s="7"/>
      <c r="M88" s="68">
        <f>IF(ISERROR(M82-M43-M44-M45-M46-M47-M48),0,M82-M43-M44-M45-M46-M47-M48)</f>
        <v>0</v>
      </c>
      <c r="N88" s="68">
        <f>IF(ISERROR(N82-N43-N44-N45-N46-N47-N48),0,N82-N43-N44-N45-N46-N47-N48)</f>
        <v>0</v>
      </c>
      <c r="O88" s="68">
        <f>IF(ISERROR(O82-O43-O44-O45-O46-O47-O48),0,O82-O43-O44-O45-O46-O47-O48)</f>
        <v>0</v>
      </c>
      <c r="P88" s="68">
        <f>IF(ISERROR(P82-P43-P44-P45-P46-P47-P48),0,P82-P43-P44-P45-P46-P47-P48)</f>
        <v>0</v>
      </c>
      <c r="Q88" s="68">
        <f t="shared" si="33"/>
        <v>0</v>
      </c>
      <c r="R88" s="134"/>
      <c r="S88" s="134"/>
      <c r="T88" s="134"/>
      <c r="U88" s="134"/>
      <c r="V88" s="134"/>
      <c r="W88" s="134"/>
      <c r="X88" s="134"/>
      <c r="Y88" s="134"/>
      <c r="Z88" s="134"/>
      <c r="AA88" s="134"/>
      <c r="AC88" s="89"/>
      <c r="AD88" s="111"/>
      <c r="AE88" s="91"/>
      <c r="AF88" s="90"/>
      <c r="AG88" s="97"/>
    </row>
    <row r="89" spans="5:39" hidden="1" x14ac:dyDescent="0.2">
      <c r="E89" s="75"/>
      <c r="F89" s="78"/>
      <c r="G89" s="78"/>
      <c r="H89" s="7"/>
      <c r="I89" s="7"/>
      <c r="J89" s="7"/>
      <c r="K89" s="7"/>
      <c r="L89" s="7"/>
      <c r="M89" s="69">
        <f>IF(ISERROR(M82-M43-M44-M45-M46-M47-M48-M49),0,M82-M43-M44-M45-M46-M47-M48-M49)</f>
        <v>0</v>
      </c>
      <c r="N89" s="69">
        <f>IF(ISERROR(N82-N43-N44-N45-N46-N47-N48-N49),0,N82-N43-N44-N45-N46-N47-N48-N49)</f>
        <v>0</v>
      </c>
      <c r="O89" s="69">
        <f>IF(ISERROR(O82-O43-O44-O45-O46-O47-O48-O49),0,O82-O43-O44-O45-O46-O47-O48-O49)</f>
        <v>0</v>
      </c>
      <c r="P89" s="69">
        <f>IF(ISERROR(P82-P43-P44-P45-P46-P47-P48-P49),0,P82-P43-P44-P45-P46-P47-P48-P49)</f>
        <v>0</v>
      </c>
      <c r="Q89" s="68">
        <f t="shared" si="33"/>
        <v>0</v>
      </c>
      <c r="R89" s="134"/>
      <c r="S89" s="134"/>
      <c r="T89" s="134"/>
      <c r="U89" s="134"/>
      <c r="V89" s="134"/>
      <c r="W89" s="134"/>
      <c r="X89" s="134"/>
      <c r="Y89" s="134"/>
      <c r="Z89" s="134"/>
      <c r="AA89" s="134"/>
      <c r="AC89" s="89"/>
      <c r="AD89" s="111"/>
      <c r="AE89" s="91"/>
      <c r="AF89" s="90"/>
      <c r="AG89" s="97"/>
    </row>
    <row r="90" spans="5:39" hidden="1" x14ac:dyDescent="0.2">
      <c r="E90" s="75"/>
      <c r="F90" s="78"/>
      <c r="G90" s="78"/>
      <c r="H90" s="7"/>
      <c r="I90" s="7"/>
      <c r="J90" s="7"/>
      <c r="K90" s="7"/>
      <c r="L90" s="7"/>
      <c r="M90" s="68">
        <f>IF(ISERROR(M82-M43-M44-M45-M46-M47-M48-M49-M50),0,M82-M43-M44-M45-M46-M47-M48-M49-M50)</f>
        <v>0</v>
      </c>
      <c r="N90" s="68">
        <f>IF(ISERROR(N82-N43-N44-N45-N46-N47-N48-N49-N50),0,N82-N43-N44-N45-N46-N47-N48-N49-N50)</f>
        <v>0</v>
      </c>
      <c r="O90" s="68">
        <f>IF(ISERROR(O82-O43-O44-O45-O46-O47-O48-O49-O50),0,O82-O43-O44-O45-O46-O47-O48-O49-O50)</f>
        <v>0</v>
      </c>
      <c r="P90" s="68">
        <f>IF(ISERROR(P82-P43-P44-P45-P46-P47-P48-P49-P50),0,P82-P43-P44-P45-P46-P47-P48-P49-P50)</f>
        <v>0</v>
      </c>
      <c r="Q90" s="68">
        <f t="shared" si="33"/>
        <v>0</v>
      </c>
      <c r="R90" s="134"/>
      <c r="S90" s="134"/>
      <c r="T90" s="134"/>
      <c r="U90" s="134"/>
      <c r="V90" s="134"/>
      <c r="W90" s="134"/>
      <c r="X90" s="134"/>
      <c r="Y90" s="134"/>
      <c r="Z90" s="134"/>
      <c r="AA90" s="134"/>
      <c r="AC90" s="89"/>
      <c r="AD90" s="111"/>
      <c r="AE90" s="91"/>
      <c r="AF90" s="90"/>
      <c r="AG90" s="97"/>
    </row>
    <row r="91" spans="5:39" hidden="1" x14ac:dyDescent="0.2">
      <c r="E91" s="75"/>
      <c r="F91" s="78"/>
      <c r="G91" s="78"/>
      <c r="H91" s="7"/>
      <c r="I91" s="7"/>
      <c r="J91" s="7"/>
      <c r="K91" s="7"/>
      <c r="L91" s="7"/>
      <c r="M91" s="68">
        <f>IF(ISERROR(M82-M43-M44-M45-M46-M47-M48-M49-M50-M51),0,M82-M43-M44-M45-M46-M47-M48-M49-M50-M51)</f>
        <v>0</v>
      </c>
      <c r="N91" s="68">
        <f>IF(ISERROR(N82-N43-N44-N45-N46-N47-N48-N49-N50-N51),0,N82-N43-N44-N45-N46-N47-N48-N49-N50-N51)</f>
        <v>0</v>
      </c>
      <c r="O91" s="68">
        <f>IF(ISERROR(O82-O43-O44-O45-O46-O47-O48-O49-O50-O51),0,O82-O43-O44-O45-O46-O47-O48-O49-O50-O51)</f>
        <v>0</v>
      </c>
      <c r="P91" s="68">
        <f>IF(ISERROR(P82-P43-P44-P45-P46-P47-P48-P49-P50-P51),0,P82-P43-P44-P45-P46-P47-P48-P49-P50-P51)</f>
        <v>0</v>
      </c>
      <c r="Q91" s="68">
        <f t="shared" si="33"/>
        <v>0</v>
      </c>
      <c r="R91" s="134"/>
      <c r="S91" s="134"/>
      <c r="T91" s="134"/>
      <c r="U91" s="134"/>
      <c r="V91" s="134"/>
      <c r="W91" s="134"/>
      <c r="X91" s="134"/>
      <c r="Y91" s="134"/>
      <c r="Z91" s="134"/>
      <c r="AA91" s="134"/>
      <c r="AC91" s="337"/>
      <c r="AD91" s="338"/>
      <c r="AE91" s="30"/>
      <c r="AF91" s="339"/>
      <c r="AG91" s="340"/>
    </row>
    <row r="92" spans="5:39" hidden="1" x14ac:dyDescent="0.2">
      <c r="E92" s="75"/>
      <c r="F92" s="78"/>
      <c r="G92" s="78"/>
      <c r="H92" s="7"/>
      <c r="I92" s="7"/>
      <c r="J92" s="7"/>
      <c r="K92" s="7"/>
      <c r="L92" s="7"/>
      <c r="M92" s="68">
        <f>IF(ISERROR(M82-M43-M44-M45-M46-M47-M48-M49-M50-M51-M52),0,M82-M43-M44-M45-M46-M47-M48-M49-M50-M51-M52)</f>
        <v>0</v>
      </c>
      <c r="N92" s="68">
        <f>IF(ISERROR(N82-N43-N44-N45-N46-N47-N48-N49-N50-N51-N52),0,N82-N43-N44-N45-N46-N47-N48-N49-N50-N51-N52)</f>
        <v>0</v>
      </c>
      <c r="O92" s="68">
        <f>IF(ISERROR(O82-O43-O44-O45-O46-O47-O48-O49-O50-O51-O52),0,O82-O43-O44-O45-O46-O47-O48-O49-O50-O51-O52)</f>
        <v>0</v>
      </c>
      <c r="P92" s="68">
        <f>IF(ISERROR(P82-P43-P44-P45-P46-P47-P48-P49-P50-P51-P52),0,P82-P43-P44-P45-P46-P47-P48-P49-P50-P51-P52)</f>
        <v>0</v>
      </c>
      <c r="Q92" s="68">
        <f t="shared" si="33"/>
        <v>0</v>
      </c>
      <c r="R92" s="134"/>
      <c r="S92" s="134"/>
      <c r="T92" s="134"/>
      <c r="U92" s="134"/>
      <c r="V92" s="134"/>
      <c r="W92" s="134"/>
      <c r="X92" s="134"/>
      <c r="Y92" s="134"/>
      <c r="Z92" s="134"/>
      <c r="AA92" s="134"/>
      <c r="AC92" s="337"/>
      <c r="AD92" s="338"/>
      <c r="AE92" s="30"/>
      <c r="AF92" s="339"/>
      <c r="AG92" s="340"/>
    </row>
    <row r="93" spans="5:39" hidden="1" x14ac:dyDescent="0.2">
      <c r="E93" s="75"/>
      <c r="F93" s="78"/>
      <c r="G93" s="78"/>
      <c r="H93" s="7"/>
      <c r="I93" s="7"/>
      <c r="J93" s="7"/>
      <c r="K93" s="7"/>
      <c r="L93" s="7"/>
      <c r="M93" s="68">
        <f>IF(ISERROR(M82-M43-M44-M45-M46-M47-M48-M49-M50-M51-M52-M53),0,M82-M43-M44-M45-M46-M47-M48-M49-M50-M51-M52-M53)</f>
        <v>0</v>
      </c>
      <c r="N93" s="68">
        <f>IF(ISERROR(N82-N43-N44-N45-N46-N47-N48-N49-N50-N51-N52-N53),0,N82-N43-N44-N45-N46-N47-N48-N49-N50-N51-N52-N53)</f>
        <v>0</v>
      </c>
      <c r="O93" s="68">
        <f>IF(ISERROR(O82-O43-O44-O45-O46-O47-O48-O49-O50-O51-O52-O53),0,O82-O43-O44-O45-O46-O47-O48-O49-O50-O51-O52-O53)</f>
        <v>0</v>
      </c>
      <c r="P93" s="68">
        <f>IF(ISERROR(P82-P43-P44-P45-P46-P47-P48-P49-P50-P51-P52-P53),0,P82-P43-P44-P45-P46-P47-P48-P49-P50-P51-P52-P53)</f>
        <v>0</v>
      </c>
      <c r="Q93" s="68">
        <f t="shared" si="33"/>
        <v>0</v>
      </c>
      <c r="R93" s="134"/>
      <c r="S93" s="134"/>
      <c r="T93" s="134"/>
      <c r="U93" s="134"/>
      <c r="V93" s="134"/>
      <c r="W93" s="134"/>
      <c r="X93" s="134"/>
      <c r="Y93" s="134"/>
      <c r="Z93" s="134"/>
      <c r="AA93" s="134"/>
      <c r="AC93" s="337"/>
      <c r="AD93" s="338"/>
      <c r="AE93" s="30"/>
      <c r="AF93" s="339"/>
      <c r="AG93" s="340"/>
    </row>
    <row r="94" spans="5:39" hidden="1" x14ac:dyDescent="0.2">
      <c r="E94" s="75"/>
      <c r="F94" s="78"/>
      <c r="G94" s="78"/>
      <c r="H94" s="7"/>
      <c r="I94" s="7"/>
      <c r="J94" s="7"/>
      <c r="K94" s="7"/>
      <c r="L94" s="7"/>
      <c r="M94" s="68">
        <f>IF(ISERROR(M82-M43-M44-M45-M46-M47-M48-M49-M50-M51-M52-M53-M54),0,M82-M43-M44-M45-M46-M47-M48-M49-M50-M51-M52-M53-M54)</f>
        <v>0</v>
      </c>
      <c r="N94" s="68">
        <f>IF(ISERROR(N82-N43-N44-N45-N46-N47-N48-N49-N50-N51-N52-N53-N54),0,N82-N43-N44-N45-N46-N47-N48-N49-N50-N51-N52-N53-N54)</f>
        <v>0</v>
      </c>
      <c r="O94" s="68">
        <f>IF(ISERROR(O82-O43-O44-O45-O46-O47-O48-O49-O50-O51-O52-O53-O54),0,O82-O43-O44-O45-O46-O47-O48-O49-O50-O51-O52-O53-O54)</f>
        <v>0</v>
      </c>
      <c r="P94" s="68">
        <f>IF(ISERROR(P82-P43-P44-P45-P46-P47-P48-P49-P50-P51-P52-P53-P54),0,P82-P43-P44-P45-P46-P47-P48-P49-P50-P51-P52-P53-P54)</f>
        <v>0</v>
      </c>
      <c r="Q94" s="68">
        <f t="shared" si="33"/>
        <v>0</v>
      </c>
      <c r="R94" s="134"/>
      <c r="S94" s="134"/>
      <c r="T94" s="134"/>
      <c r="U94" s="134"/>
      <c r="V94" s="134"/>
      <c r="W94" s="134"/>
      <c r="X94" s="134"/>
      <c r="Y94" s="134"/>
      <c r="Z94" s="134"/>
      <c r="AA94" s="134"/>
      <c r="AC94" s="337"/>
      <c r="AD94" s="338"/>
      <c r="AE94" s="30"/>
      <c r="AF94" s="339"/>
      <c r="AG94" s="340"/>
    </row>
    <row r="95" spans="5:39" hidden="1" x14ac:dyDescent="0.2">
      <c r="E95" s="75"/>
      <c r="F95" s="78"/>
      <c r="G95" s="78"/>
      <c r="H95" s="7"/>
      <c r="I95" s="7"/>
      <c r="J95" s="7"/>
      <c r="K95" s="7"/>
      <c r="L95" s="7"/>
      <c r="M95" s="68">
        <f>IF(ISERROR(M82-M43-M44-M45-M46-M47-M48-M49-M50-M51-M52-M53-M54-M55),0,M82-M43-M44-M45-M46-M47-M48-M49-M50-M51-M52-M53-M54-M55)</f>
        <v>0</v>
      </c>
      <c r="N95" s="68">
        <f>IF(ISERROR(N82-N43-N44-N45-N46-N47-N48-N49-N50-N51-N52-N53-N54-N55),0,N82-N43-N44-N45-N46-N47-N48-N49-N50-N51-N52-N53-N54-N55)</f>
        <v>0</v>
      </c>
      <c r="O95" s="68">
        <f>IF(ISERROR(O82-O43-O44-O45-O46-O47-O48-O49-O50-O51-O52-O53-O54-O55),0,O82-O43-O44-O45-O46-O47-O48-O49-O50-O51-O52-O53-O54-O55)</f>
        <v>0</v>
      </c>
      <c r="P95" s="68">
        <f>IF(ISERROR(P82-P43-P44-P45-P46-P47-P48-P49-P50-P51-P52-P53-P54-P55),0,P82-P43-P44-P45-P46-P47-P48-P49-P50-P51-P52-P53-P54-P55)</f>
        <v>0</v>
      </c>
      <c r="Q95" s="68">
        <f t="shared" si="33"/>
        <v>0</v>
      </c>
      <c r="R95" s="134"/>
      <c r="S95" s="134"/>
      <c r="T95" s="134"/>
      <c r="U95" s="134"/>
      <c r="V95" s="134"/>
      <c r="W95" s="134"/>
      <c r="X95" s="134"/>
      <c r="Y95" s="134"/>
      <c r="Z95" s="134"/>
      <c r="AA95" s="134"/>
      <c r="AC95" s="337"/>
      <c r="AD95" s="338"/>
      <c r="AE95" s="30"/>
      <c r="AF95" s="339"/>
      <c r="AG95" s="340"/>
    </row>
    <row r="96" spans="5:39" hidden="1" x14ac:dyDescent="0.2">
      <c r="E96" s="75"/>
      <c r="F96" s="78"/>
      <c r="G96" s="78"/>
      <c r="H96" s="7"/>
      <c r="I96" s="7"/>
      <c r="J96" s="7"/>
      <c r="K96" s="7"/>
      <c r="L96" s="7"/>
      <c r="M96" s="68">
        <f>IF(ISERROR(M82-M43-M44-M45-M46-M47-M48-M49-M50-M51-M52-M53-M54-M55-M56),0,M82-M43-M44-M45-M46-M47-M48-M49-M50-M51-M52-M53-M54-M55-M56)</f>
        <v>0</v>
      </c>
      <c r="N96" s="68">
        <f>IF(ISERROR(N82-N43-N44-N45-N46-N47-N48-N49-N50-N51-N52-N53-N54-N55-N56),0,N82-N43-N44-N45-N46-N47-N48-N49-N50-N51-N52-N53-N54-N55-N56)</f>
        <v>0</v>
      </c>
      <c r="O96" s="68">
        <f>IF(ISERROR(O82-O43-O44-O45-O46-O47-O48-O49-O50-O51-O52-O53-O54-O55-O56),0,O82-O43-O44-O45-O46-O47-O48-O49-O50-O51-O52-O53-O54-O55-O56)</f>
        <v>0</v>
      </c>
      <c r="P96" s="68">
        <f>IF(ISERROR(P82-P43-P44-P45-P46-P47-P48-P49-P50-P51-P52-P53-P54-P55-P56),0,P82-P43-P44-P45-P46-P47-P48-P49-P50-P51-P52-P53-P54-P55-P56)</f>
        <v>0</v>
      </c>
      <c r="Q96" s="68">
        <f t="shared" si="33"/>
        <v>0</v>
      </c>
      <c r="R96" s="134"/>
      <c r="S96" s="134"/>
      <c r="T96" s="134"/>
      <c r="U96" s="134"/>
      <c r="V96" s="134"/>
      <c r="W96" s="134"/>
      <c r="X96" s="134"/>
      <c r="Y96" s="134"/>
      <c r="Z96" s="134"/>
      <c r="AA96" s="134"/>
      <c r="AC96" s="337"/>
      <c r="AD96" s="338"/>
      <c r="AE96" s="30"/>
      <c r="AF96" s="339"/>
      <c r="AG96" s="340"/>
    </row>
    <row r="97" spans="5:33" hidden="1" x14ac:dyDescent="0.2">
      <c r="E97" s="75"/>
      <c r="F97" s="78"/>
      <c r="G97" s="78"/>
      <c r="H97" s="7"/>
      <c r="I97" s="7"/>
      <c r="J97" s="7"/>
      <c r="K97" s="7"/>
      <c r="L97" s="7"/>
      <c r="M97" s="68">
        <f>IF(ISERROR(M82-M43-M44-M45-M46-M47-M48-M49-M50-M51-M52-M53-M54-M55-M56-M57),0,M82-M43-M44-M45-M46-M47-M48-M49-M50-M51-M52-M53-M54-M55-M56-M57)</f>
        <v>0</v>
      </c>
      <c r="N97" s="68">
        <f>IF(ISERROR(N82-N43-N44-N45-N46-N47-N48-N49-N50-N51-N52-N53-N54-N55-N56-N57),0,N82-N43-N44-N45-N46-N47-N48-N49-N50-N51-N52-N53-N54-N55-N56-N57)</f>
        <v>0</v>
      </c>
      <c r="O97" s="68">
        <f>IF(ISERROR(O82-O43-O44-O45-O46-O47-O48-O49-O50-O51-O52-O53-O54-O55-O56-O57),0,O82-O43-O44-O45-O46-O47-O48-O49-O50-O51-O52-O53-O54-O55-O56-O57)</f>
        <v>0</v>
      </c>
      <c r="P97" s="68">
        <f>IF(ISERROR(P82-P43-P44-P45-P46-P47-P48-P49-P50-P51-P52-P53-P54-P55-P56-P57),0,P82-P43-P44-P45-P46-P47-P48-P49-P50-P51-P52-P53-P54-P55-P56-P57)</f>
        <v>0</v>
      </c>
      <c r="Q97" s="68">
        <f t="shared" si="33"/>
        <v>0</v>
      </c>
      <c r="R97" s="134"/>
      <c r="S97" s="134"/>
      <c r="T97" s="134"/>
      <c r="U97" s="134"/>
      <c r="V97" s="134"/>
      <c r="W97" s="134"/>
      <c r="X97" s="134"/>
      <c r="Y97" s="134"/>
      <c r="Z97" s="134"/>
      <c r="AA97" s="134"/>
      <c r="AC97" s="337"/>
      <c r="AD97" s="338"/>
      <c r="AE97" s="30"/>
      <c r="AF97" s="339"/>
      <c r="AG97" s="340"/>
    </row>
    <row r="98" spans="5:33" hidden="1" x14ac:dyDescent="0.2">
      <c r="E98" s="75"/>
      <c r="F98" s="78"/>
      <c r="G98" s="78"/>
      <c r="H98" s="7"/>
      <c r="I98" s="7"/>
      <c r="J98" s="7"/>
      <c r="K98" s="7"/>
      <c r="L98" s="7"/>
      <c r="M98" s="68">
        <f>IF(ISERROR(M82-M43-M44-M45-M46-M47-M48-M49-M50-M51-M52-M53-M54-M55-M56-M57-M58),0,M82-M43-M44-M45-M46-M47-M48-M49-M50-M51-M52-M53-M54-M55-M56-M57-M58)</f>
        <v>0</v>
      </c>
      <c r="N98" s="68">
        <f>IF(ISERROR(N82-N43-N44-N45-N46-N47-N48-N49-N50-N51-N52-N53-N54-N55-N56-N57-N58),0,N82-N43-N44-N45-N46-N47-N48-N49-N50-N51-N52-N53-N54-N55-N56-N57-N58)</f>
        <v>0</v>
      </c>
      <c r="O98" s="68">
        <f>IF(ISERROR(O82-O43-O44-O45-O46-O47-O48-O49-O50-O51-O52-O53-O54-O55-O56-O57-O58),0,O82-O43-O44-O45-O46-O47-O48-O49-O50-O51-O52-O53-O54-O55-O56-O57-O58)</f>
        <v>0</v>
      </c>
      <c r="P98" s="68">
        <f>IF(ISERROR(P82-P43-P44-P45-P46-P47-P48-P49-P50-P51-P52-P53-P54-P55-P56-P57-P58),0,P82-P43-P44-P45-P46-P47-P48-P49-P50-P51-P52-P53-P54-P55-P56-P57-P58)</f>
        <v>0</v>
      </c>
      <c r="Q98" s="68">
        <f t="shared" si="33"/>
        <v>0</v>
      </c>
      <c r="R98" s="134"/>
      <c r="S98" s="134"/>
      <c r="T98" s="134"/>
      <c r="U98" s="134"/>
      <c r="V98" s="134"/>
      <c r="W98" s="134"/>
      <c r="X98" s="134"/>
      <c r="Y98" s="134"/>
      <c r="Z98" s="134"/>
      <c r="AA98" s="134"/>
      <c r="AC98" s="337"/>
      <c r="AD98" s="338"/>
      <c r="AE98" s="30"/>
      <c r="AF98" s="339"/>
      <c r="AG98" s="340"/>
    </row>
    <row r="99" spans="5:33" hidden="1" x14ac:dyDescent="0.2">
      <c r="E99" s="75"/>
      <c r="F99" s="78"/>
      <c r="G99" s="78"/>
      <c r="H99" s="7"/>
      <c r="I99" s="7"/>
      <c r="J99" s="7"/>
      <c r="K99" s="7"/>
      <c r="L99" s="7"/>
      <c r="M99" s="68">
        <f>IF(ISERROR(M82-M43-M44-M45-M46-M47-M48-M49-M50-M51-M52-M53-M54-M55-M56-M57-M58-M59),0,M82-M43-M44-M45-M46-M47-M48-M49-M50-M51-M52-M53-M54-M55-M56-M57-M58-M59)</f>
        <v>0</v>
      </c>
      <c r="N99" s="68">
        <f>IF(ISERROR(N82-N43-N44-N45-N46-N47-N48-N49-N50-N51-N52-N53-N54-N55-N56-N57-N58-N59),0,N82-N43-N44-N45-N46-N47-N48-N49-N50-N51-N52-N53-N54-N55-N56-N57-N58-N59)</f>
        <v>0</v>
      </c>
      <c r="O99" s="68">
        <f>IF(ISERROR(O82-O43-O44-O45-O46-O47-O48-O49-O50-O51-O52-O53-O54-O55-O56-O57-O58-O59),0,O82-O43-O44-O45-O46-O47-O48-O49-O50-O51-O52-O53-O54-O55-O56-O57-O58-O59)</f>
        <v>0</v>
      </c>
      <c r="P99" s="68">
        <f>IF(ISERROR(P82-P43-P44-P45-P46-P47-P48-P49-P50-P51-P52-P53-P54-P55-P56-P57-P58-P59),0,P82-P43-P44-P45-P46-P47-P48-P49-P50-P51-P52-P53-P54-P55-P56-P57-P58-P59)</f>
        <v>0</v>
      </c>
      <c r="Q99" s="68">
        <f t="shared" si="33"/>
        <v>0</v>
      </c>
      <c r="R99" s="134"/>
      <c r="S99" s="134"/>
      <c r="T99" s="134"/>
      <c r="U99" s="134"/>
      <c r="V99" s="134"/>
      <c r="W99" s="134"/>
      <c r="X99" s="134"/>
      <c r="Y99" s="134"/>
      <c r="Z99" s="134"/>
      <c r="AA99" s="134"/>
      <c r="AC99" s="337"/>
      <c r="AD99" s="338"/>
      <c r="AE99" s="30"/>
      <c r="AF99" s="339"/>
      <c r="AG99" s="340"/>
    </row>
    <row r="100" spans="5:33" hidden="1" x14ac:dyDescent="0.2">
      <c r="E100" s="75"/>
      <c r="F100" s="78"/>
      <c r="G100" s="78"/>
      <c r="H100" s="7"/>
      <c r="I100" s="7"/>
      <c r="J100" s="7"/>
      <c r="K100" s="7"/>
      <c r="L100" s="7"/>
      <c r="M100" s="68">
        <f>IF(ISERROR(M82-M43-M44-M45-M46-M47-M48-M49-M50-M51-M52-M53-M54-M55-M56-M57-M58-M59-M60),0,M82-M43-M44-M45-M46-M47-M48-M49-M50-M51-M52-M53-M54-M55-M56-M57-M58-M59-M60)</f>
        <v>0</v>
      </c>
      <c r="N100" s="68">
        <f>IF(ISERROR(N82-N43-N44-N45-N46-N47-N48-N49-N50-N51-N52-N53-N54-N55-N56-N57-N58-N59-N60),0,N82-N43-N44-N45-N46-N47-N48-N49-N50-N51-N52-N53-N54-N55-N56-N57-N58-N59-N60)</f>
        <v>0</v>
      </c>
      <c r="O100" s="68">
        <f>IF(ISERROR(O82-O43-O44-O45-O46-O47-O48-O49-O50-O51-O52-O53-O54-O55-O56-O57-O58-O59-O60),0,O82-O43-O44-O45-O46-O47-O48-O49-O50-O51-O52-O53-O54-O55-O56-O57-O58-O59-O60)</f>
        <v>0</v>
      </c>
      <c r="P100" s="68">
        <f>IF(ISERROR(P82-P43-P44-P45-P46-P47-P48-P49-P50-P51-P52-P53-P54-P55-P56-P57-P58-P59-P60),0,P82-P43-P44-P45-P46-P47-P48-P49-P50-P51-P52-P53-P54-P55-P56-P57-P58-P59-P60)</f>
        <v>0</v>
      </c>
      <c r="Q100" s="68">
        <f t="shared" si="33"/>
        <v>0</v>
      </c>
      <c r="R100" s="134"/>
      <c r="S100" s="134"/>
      <c r="T100" s="134"/>
      <c r="U100" s="134"/>
      <c r="V100" s="134"/>
      <c r="W100" s="134"/>
      <c r="X100" s="134"/>
      <c r="Y100" s="134"/>
      <c r="Z100" s="134"/>
      <c r="AA100" s="134"/>
      <c r="AC100" s="337"/>
      <c r="AD100" s="338"/>
      <c r="AE100" s="30"/>
      <c r="AF100" s="339"/>
      <c r="AG100" s="340"/>
    </row>
    <row r="101" spans="5:33" hidden="1" x14ac:dyDescent="0.2">
      <c r="E101" s="75"/>
      <c r="F101" s="78"/>
      <c r="G101" s="78"/>
      <c r="H101" s="7"/>
      <c r="I101" s="7"/>
      <c r="J101" s="7"/>
      <c r="K101" s="7"/>
      <c r="L101" s="7"/>
      <c r="M101" s="68">
        <f>IF(ISERROR(M82-M43-M44-M45-M46-M47-M48-M49-M50-M51-M52-M53-M54-M55-M56-M57-M58-M59-M60-M64),0,M82-M43-M44-M45-M46-M47-M48-M49-M50-M51-M52-M53-M54-M55-M56-M57-M58-M59-M60-M64)</f>
        <v>0</v>
      </c>
      <c r="N101" s="68">
        <f>IF(ISERROR(N82-N43-N44-N45-N46-N47-N48-N49-N50-N51-N52-N53-N54-N55-N56-N57-N58-N59-N60-N64),0,N82-N43-N44-N45-N46-N47-N48-N49-N50-N51-N52-N53-N54-N55-N56-N57-N58-N59-N60-N64)</f>
        <v>0</v>
      </c>
      <c r="O101" s="68">
        <f>IF(ISERROR(O82-O43-O44-O45-O46-O47-O48-O49-O50-O51-O52-O53-O54-O55-O56-O57-O58-O59-O60-O64),0,O82-O43-O44-O45-O46-O47-O48-O49-O50-O51-O52-O53-O54-O55-O56-O57-O58-O59-O60-O64)</f>
        <v>0</v>
      </c>
      <c r="P101" s="68">
        <f>IF(ISERROR(P82-P43-P44-P45-P46-P47-P48-P49-P50-P51-P52-P53-P54-P55-P56-P57-P58-P59-P60-P64),0,P82-P43-P44-P45-P46-P47-P48-P49-P50-P51-P52-P53-P54-P55-P56-P57-P58-P59-P60-P64)</f>
        <v>0</v>
      </c>
      <c r="Q101" s="68">
        <f t="shared" si="33"/>
        <v>0</v>
      </c>
      <c r="R101" s="134"/>
      <c r="S101" s="134"/>
      <c r="T101" s="134"/>
      <c r="U101" s="134"/>
      <c r="V101" s="134"/>
      <c r="W101" s="134"/>
      <c r="X101" s="134"/>
      <c r="Y101" s="134"/>
      <c r="Z101" s="134"/>
      <c r="AA101" s="134"/>
      <c r="AC101" s="337"/>
      <c r="AD101" s="338"/>
      <c r="AE101" s="30"/>
      <c r="AF101" s="339"/>
      <c r="AG101" s="340"/>
    </row>
    <row r="102" spans="5:33" hidden="1" x14ac:dyDescent="0.2">
      <c r="E102" s="61"/>
      <c r="F102" s="62"/>
      <c r="G102" s="62"/>
      <c r="H102" s="2"/>
      <c r="I102" s="2"/>
      <c r="J102" s="2"/>
      <c r="K102" s="2"/>
      <c r="L102" s="2"/>
      <c r="M102" s="68">
        <f>IF(ISERROR(M82-M43-M44-M45-M46-M47-M48-M49-M50-M51-M52-M53-M54-M55-M56-M57-M58-M59-M60-M64-M65),0,M82-M43-M44-M45-M46-M47-M48-M49-M50-M51-M52-M53-M54-M55-M56-M57-M58-M59-M60-M64-M65)</f>
        <v>0</v>
      </c>
      <c r="N102" s="68">
        <f>IF(ISERROR(N82-N43-N44-N45-N46-N47-N48-N49-N50-N51-N52-N53-N54-N55-N56-N57-N58-N59-N60-N64-N65),0,N82-N43-N44-N45-N46-N47-N48-N49-N50-N51-N52-N53-N54-N55-N56-N57-N58-N59-N60-N64-N65)</f>
        <v>0</v>
      </c>
      <c r="O102" s="68">
        <f>IF(ISERROR(O82-O43-O44-O45-O46-O47-O48-O49-O50-O51-O52-O53-O54-O55-O56-O57-O58-O59-O60-O64-O65),0,O82-O43-O44-O45-O46-O47-O48-O49-O50-O51-O52-O53-O54-O55-O56-O57-O58-O59-O60-O64-O65)</f>
        <v>0</v>
      </c>
      <c r="P102" s="68">
        <f>IF(ISERROR(P82-P43-P44-P45-P46-P47-P48-P49-P50-P51-P52-P53-P54-P55-P56-P57-P58-P59-P60-P64-P65),0,P82-P43-P44-P45-P46-P47-P48-P49-P50-P51-P52-P53-P54-P55-P56-P57-P58-P59-P60-P64-P65)</f>
        <v>0</v>
      </c>
      <c r="Q102" s="68">
        <f t="shared" si="33"/>
        <v>0</v>
      </c>
      <c r="R102" s="134"/>
      <c r="S102" s="134"/>
      <c r="T102" s="134"/>
      <c r="U102" s="134"/>
      <c r="V102" s="134"/>
      <c r="W102" s="134"/>
      <c r="X102" s="134"/>
      <c r="Y102" s="134"/>
      <c r="Z102" s="134"/>
      <c r="AA102" s="134"/>
      <c r="AC102" s="80"/>
      <c r="AD102" s="81"/>
      <c r="AE102" s="81"/>
      <c r="AF102" s="81"/>
      <c r="AG102" s="82"/>
    </row>
  </sheetData>
  <sheetProtection password="F4FD" sheet="1" objects="1" scenarios="1"/>
  <mergeCells count="15">
    <mergeCell ref="AF22:AH22"/>
    <mergeCell ref="AD22:AE22"/>
    <mergeCell ref="G11:J12"/>
    <mergeCell ref="G9:J10"/>
    <mergeCell ref="G7:H8"/>
    <mergeCell ref="G21:I22"/>
    <mergeCell ref="U1:Z1"/>
    <mergeCell ref="P2:S2"/>
    <mergeCell ref="G2:O2"/>
    <mergeCell ref="T69:V69"/>
    <mergeCell ref="T70:V71"/>
    <mergeCell ref="A69:Q71"/>
    <mergeCell ref="U2:Z2"/>
    <mergeCell ref="U3:Z3"/>
    <mergeCell ref="U4:V4"/>
  </mergeCells>
  <phoneticPr fontId="0" type="noConversion"/>
  <conditionalFormatting sqref="Q22">
    <cfRule type="cellIs" dxfId="2" priority="1" stopIfTrue="1" operator="equal">
      <formula>"Yes"</formula>
    </cfRule>
  </conditionalFormatting>
  <dataValidations count="10">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5">
      <formula1>0</formula1>
      <formula2>1</formula2>
    </dataValidation>
    <dataValidation allowBlank="1" showInputMessage="1" showErrorMessage="1" errorTitle="Scale Validation" error="You must enter the letter &quot;x&quot; to calculate for Instructor." sqref="H33"/>
    <dataValidation allowBlank="1" showInputMessage="1" showErrorMessage="1" error="Please enter a number between 1 and 5 to denote the appropriate salary cap." sqref="J51"/>
    <dataValidation type="whole" allowBlank="1" showInputMessage="1" showErrorMessage="1" error="Please enter a number between 9 and 22 to denote the appropriate salary cap." sqref="A43:A65">
      <formula1>9</formula1>
      <formula2>25</formula2>
    </dataValidation>
    <dataValidation type="list" allowBlank="1" showInputMessage="1" showErrorMessage="1" sqref="G43:G65">
      <formula1>"ADD,CHANGE,END"</formula1>
    </dataValidation>
  </dataValidations>
  <hyperlinks>
    <hyperlink ref="I26" location="GenlInstr!D9" display="GenlInstr!D9"/>
    <hyperlink ref="A39" location="GenlInstr!B11" display="GenlInstr!B11"/>
    <hyperlink ref="A67" location="GenlInstr!F11" display="GenlInstr!F11"/>
    <hyperlink ref="I31" location="GenlInstr!B10" display="GenlInstr!B10"/>
    <hyperlink ref="I32" location="GenlInstr!D10" display="GenlInstr!D10"/>
    <hyperlink ref="I33" location="GenlInstr!F10" display="GenlInstr!F10"/>
    <hyperlink ref="I8" location="GenlInstr!B9" display="GenlInstr!B9"/>
    <hyperlink ref="O4" location="GenlInstr!F9" display="GenlInstr!F9"/>
  </hyperlinks>
  <pageMargins left="0.2" right="0.2" top="0.25" bottom="0.25" header="0.33" footer="0.5"/>
  <pageSetup paperSize="5" scale="59" orientation="landscape" horizontalDpi="2400" verticalDpi="2400" r:id="rId1"/>
  <headerFooter>
    <oddFooter>&amp;L&amp;8Printed:  &amp;D @ &amp;T</oddFooter>
  </headerFooter>
  <drawing r:id="rId2"/>
  <legacyDrawing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pageSetUpPr fitToPage="1"/>
  </sheetPr>
  <dimension ref="A1:AP107"/>
  <sheetViews>
    <sheetView showGridLines="0" showZeros="0" zoomScaleNormal="100" zoomScalePageLayoutView="125" workbookViewId="0">
      <selection activeCell="G9" sqref="G9:J10"/>
    </sheetView>
  </sheetViews>
  <sheetFormatPr defaultColWidth="8.85546875" defaultRowHeight="12.75" x14ac:dyDescent="0.2"/>
  <cols>
    <col min="1" max="1" width="4.7109375" style="46" customWidth="1"/>
    <col min="2" max="4" width="9.85546875" style="46" customWidth="1"/>
    <col min="5" max="6" width="9.85546875" customWidth="1"/>
    <col min="7" max="7" width="12.140625" customWidth="1"/>
    <col min="8" max="8" width="18.42578125" customWidth="1"/>
    <col min="9" max="9" width="9" customWidth="1"/>
    <col min="10" max="10" width="9.28515625" customWidth="1"/>
    <col min="11" max="11" width="15" customWidth="1"/>
    <col min="12" max="13" width="9.42578125" customWidth="1"/>
    <col min="14" max="14" width="8.7109375" customWidth="1"/>
    <col min="16" max="16" width="9" customWidth="1"/>
    <col min="17" max="17" width="11" customWidth="1"/>
    <col min="18" max="18" width="1.7109375" customWidth="1"/>
    <col min="19" max="19" width="13.28515625" customWidth="1"/>
    <col min="20" max="20" width="11.42578125" customWidth="1"/>
    <col min="21" max="21" width="20" customWidth="1"/>
    <col min="22" max="22" width="18.85546875" customWidth="1"/>
    <col min="23" max="23" width="11" customWidth="1"/>
    <col min="24" max="24" width="12.85546875" customWidth="1"/>
    <col min="25" max="25" width="12.140625" customWidth="1"/>
    <col min="26" max="26" width="16.28515625" customWidth="1"/>
    <col min="27" max="27" width="8" customWidth="1"/>
    <col min="28" max="30" width="8" hidden="1" customWidth="1"/>
    <col min="31" max="31" width="9.140625" hidden="1" customWidth="1"/>
    <col min="32" max="32" width="8.28515625" hidden="1" customWidth="1"/>
    <col min="33" max="33" width="10.42578125" hidden="1" customWidth="1"/>
    <col min="34" max="35" width="10.28515625" hidden="1" customWidth="1"/>
    <col min="36" max="36" width="9" customWidth="1"/>
    <col min="37" max="38" width="8.85546875" customWidth="1"/>
    <col min="45" max="45" width="14.85546875" customWidth="1"/>
    <col min="46" max="46" width="18.28515625" customWidth="1"/>
    <col min="47" max="47" width="22" customWidth="1"/>
    <col min="48" max="48" width="23" customWidth="1"/>
  </cols>
  <sheetData>
    <row r="1" spans="1:36" ht="36.950000000000003" customHeight="1" thickBot="1" x14ac:dyDescent="0.55000000000000004">
      <c r="A1" s="590" t="s">
        <v>175</v>
      </c>
      <c r="B1" s="426"/>
      <c r="C1" s="232"/>
      <c r="D1" s="232"/>
      <c r="F1" s="233"/>
      <c r="G1" s="233"/>
      <c r="H1" s="233"/>
      <c r="I1" s="233"/>
      <c r="J1" s="233"/>
      <c r="K1" s="687" t="s">
        <v>202</v>
      </c>
      <c r="L1" s="687"/>
      <c r="M1" s="687"/>
      <c r="N1" s="687"/>
      <c r="O1" s="687"/>
      <c r="P1" s="233"/>
      <c r="Q1" s="233"/>
      <c r="R1" s="54"/>
      <c r="S1" s="234"/>
      <c r="T1" s="234"/>
      <c r="U1" s="234"/>
      <c r="V1" s="234"/>
      <c r="W1" s="234"/>
      <c r="X1" s="234"/>
      <c r="Y1" s="54"/>
      <c r="Z1" s="54"/>
      <c r="AA1" s="54"/>
      <c r="AB1" s="54"/>
      <c r="AC1" s="54"/>
      <c r="AD1" s="54"/>
    </row>
    <row r="2" spans="1:36" ht="26.25" customHeight="1" thickBot="1" x14ac:dyDescent="0.4">
      <c r="A2" s="571"/>
      <c r="B2" s="611" t="s">
        <v>219</v>
      </c>
      <c r="C2" s="571"/>
      <c r="D2" s="571"/>
      <c r="E2" s="572"/>
      <c r="F2" s="572"/>
      <c r="G2" s="640"/>
      <c r="H2" s="640"/>
      <c r="I2" s="640"/>
      <c r="J2" s="640"/>
      <c r="K2" s="640"/>
      <c r="L2" s="640"/>
      <c r="M2" s="640"/>
      <c r="N2" s="640"/>
      <c r="O2" s="640"/>
      <c r="P2" s="639" t="s">
        <v>220</v>
      </c>
      <c r="Q2" s="639"/>
      <c r="R2" s="639"/>
      <c r="S2" s="639"/>
      <c r="U2" s="659" t="s">
        <v>195</v>
      </c>
      <c r="V2" s="660"/>
      <c r="W2" s="660"/>
      <c r="X2" s="660"/>
      <c r="Y2" s="660"/>
      <c r="Z2" s="661"/>
    </row>
    <row r="3" spans="1:36" ht="5.0999999999999996" customHeight="1" thickTop="1" thickBot="1" x14ac:dyDescent="0.25">
      <c r="A3" s="147"/>
      <c r="B3" s="495"/>
      <c r="C3" s="495"/>
      <c r="D3" s="495"/>
      <c r="E3" s="35"/>
      <c r="F3" s="35"/>
      <c r="G3" s="35"/>
      <c r="H3" s="35"/>
      <c r="I3" s="35"/>
      <c r="J3" s="35"/>
      <c r="K3" s="35"/>
      <c r="L3" s="35"/>
      <c r="M3" s="35"/>
      <c r="N3" s="35"/>
      <c r="O3" s="35"/>
      <c r="P3" s="35"/>
      <c r="Q3" s="35"/>
      <c r="R3" s="35"/>
      <c r="S3" s="49"/>
      <c r="T3" s="34"/>
      <c r="U3" s="662"/>
      <c r="V3" s="663"/>
      <c r="W3" s="664"/>
      <c r="X3" s="664"/>
      <c r="Y3" s="664"/>
      <c r="Z3" s="665"/>
      <c r="AA3" s="34"/>
      <c r="AB3" s="34"/>
      <c r="AC3" s="34"/>
      <c r="AD3" s="34"/>
    </row>
    <row r="4" spans="1:36" ht="15.95" customHeight="1" thickBot="1" x14ac:dyDescent="0.25">
      <c r="A4" s="63"/>
      <c r="B4" s="30"/>
      <c r="C4" s="30"/>
      <c r="D4" s="30"/>
      <c r="E4" s="205" t="s">
        <v>123</v>
      </c>
      <c r="F4" s="72"/>
      <c r="G4" s="72"/>
      <c r="H4" s="34"/>
      <c r="I4" s="34"/>
      <c r="J4" s="34"/>
      <c r="K4" s="34"/>
      <c r="L4" s="34"/>
      <c r="M4" s="34"/>
      <c r="N4" s="34"/>
      <c r="O4" s="254" t="s">
        <v>80</v>
      </c>
      <c r="P4" s="254"/>
      <c r="Q4" s="359" t="s">
        <v>118</v>
      </c>
      <c r="R4" s="355"/>
      <c r="S4" s="357" t="s">
        <v>117</v>
      </c>
      <c r="T4" s="560"/>
      <c r="U4" s="705" t="s">
        <v>203</v>
      </c>
      <c r="V4" s="706"/>
      <c r="W4" s="578" t="s">
        <v>197</v>
      </c>
      <c r="X4" s="579" t="s">
        <v>40</v>
      </c>
      <c r="Y4" s="580" t="s">
        <v>198</v>
      </c>
      <c r="Z4" s="581"/>
      <c r="AA4" s="34"/>
      <c r="AB4" s="34"/>
      <c r="AC4" s="34"/>
      <c r="AD4" s="34"/>
    </row>
    <row r="5" spans="1:36" ht="15" customHeight="1" thickBot="1" x14ac:dyDescent="0.25">
      <c r="A5" s="63"/>
      <c r="B5" s="30"/>
      <c r="C5" s="30"/>
      <c r="D5" s="30"/>
      <c r="E5" s="205"/>
      <c r="K5" s="34"/>
      <c r="L5" s="34"/>
      <c r="M5" s="34"/>
      <c r="N5" s="34"/>
      <c r="O5" s="135"/>
      <c r="P5" s="360"/>
      <c r="Q5" s="87"/>
      <c r="R5" s="34"/>
      <c r="S5" s="358"/>
      <c r="T5" s="561"/>
      <c r="U5" s="512" t="s">
        <v>187</v>
      </c>
      <c r="V5" s="513" t="s">
        <v>188</v>
      </c>
      <c r="W5" s="547" t="s">
        <v>189</v>
      </c>
      <c r="X5" s="222" t="s">
        <v>193</v>
      </c>
      <c r="Y5" s="222" t="s">
        <v>194</v>
      </c>
      <c r="Z5" s="576" t="s">
        <v>196</v>
      </c>
      <c r="AA5" s="34"/>
      <c r="AB5" s="34"/>
      <c r="AC5" s="34"/>
      <c r="AD5" s="34"/>
    </row>
    <row r="6" spans="1:36" ht="12.95" customHeight="1" thickBot="1" x14ac:dyDescent="0.25">
      <c r="A6" s="63"/>
      <c r="B6" s="30"/>
      <c r="C6" s="30"/>
      <c r="D6" s="30"/>
      <c r="E6" s="30"/>
      <c r="J6" s="153"/>
      <c r="K6" s="153"/>
      <c r="L6" s="52"/>
      <c r="O6" s="385"/>
      <c r="P6" s="360"/>
      <c r="Q6" s="87"/>
      <c r="R6" s="34"/>
      <c r="S6" s="386"/>
      <c r="T6" s="621" t="s">
        <v>216</v>
      </c>
      <c r="U6" s="512" t="s">
        <v>187</v>
      </c>
      <c r="V6" s="513" t="s">
        <v>188</v>
      </c>
      <c r="W6" s="547" t="s">
        <v>189</v>
      </c>
      <c r="X6" s="222" t="s">
        <v>193</v>
      </c>
      <c r="Y6" s="222" t="s">
        <v>194</v>
      </c>
      <c r="Z6" s="576" t="s">
        <v>196</v>
      </c>
      <c r="AA6" s="48"/>
      <c r="AB6" s="48"/>
      <c r="AC6" s="48"/>
      <c r="AD6" s="48"/>
    </row>
    <row r="7" spans="1:36" ht="12.95" customHeight="1" x14ac:dyDescent="0.2">
      <c r="A7" s="63"/>
      <c r="B7" s="30"/>
      <c r="C7" s="30"/>
      <c r="D7" s="30"/>
      <c r="E7" s="30"/>
      <c r="G7" s="694"/>
      <c r="H7" s="695"/>
      <c r="K7" s="153"/>
      <c r="L7" s="52"/>
      <c r="M7" s="34"/>
      <c r="N7" s="34"/>
      <c r="O7" s="637" t="s">
        <v>124</v>
      </c>
      <c r="P7" s="360">
        <v>12</v>
      </c>
      <c r="Q7" s="87">
        <v>180100</v>
      </c>
      <c r="R7" s="34"/>
      <c r="S7" s="386">
        <f t="shared" ref="S7:S18" si="0">Q7/12</f>
        <v>15008.333333333334</v>
      </c>
      <c r="T7" s="585"/>
      <c r="U7" s="585"/>
      <c r="V7" s="586"/>
      <c r="W7" s="603"/>
      <c r="X7" s="586"/>
      <c r="Y7" s="603"/>
      <c r="Z7" s="587" t="s">
        <v>40</v>
      </c>
      <c r="AA7" s="34"/>
      <c r="AB7" s="34"/>
      <c r="AD7" s="109" t="s">
        <v>30</v>
      </c>
      <c r="AG7" s="109" t="s">
        <v>39</v>
      </c>
      <c r="AH7" s="126">
        <f>SUM(AD36:AF36)</f>
        <v>0</v>
      </c>
    </row>
    <row r="8" spans="1:36" ht="12.95" customHeight="1" x14ac:dyDescent="0.2">
      <c r="A8" s="63"/>
      <c r="B8" s="30"/>
      <c r="C8" s="30"/>
      <c r="D8" s="30"/>
      <c r="E8" s="30"/>
      <c r="F8" s="326" t="s">
        <v>112</v>
      </c>
      <c r="G8" s="696"/>
      <c r="H8" s="697"/>
      <c r="I8" s="327" t="s">
        <v>80</v>
      </c>
      <c r="K8" s="153"/>
      <c r="L8" s="52"/>
      <c r="M8" s="34"/>
      <c r="N8" s="34"/>
      <c r="O8" s="385" t="s">
        <v>125</v>
      </c>
      <c r="P8" s="360">
        <v>13</v>
      </c>
      <c r="Q8" s="87">
        <v>183500</v>
      </c>
      <c r="R8" s="34"/>
      <c r="S8" s="386">
        <f t="shared" si="0"/>
        <v>15291.666666666666</v>
      </c>
      <c r="T8" s="585"/>
      <c r="U8" s="585"/>
      <c r="V8" s="586"/>
      <c r="W8" s="603"/>
      <c r="X8" s="586"/>
      <c r="Y8" s="603"/>
      <c r="Z8" s="587" t="s">
        <v>40</v>
      </c>
      <c r="AA8" s="34"/>
      <c r="AB8" s="34"/>
      <c r="AC8" s="34"/>
      <c r="AD8" s="34"/>
      <c r="AF8" s="109"/>
      <c r="AI8" s="109"/>
      <c r="AJ8" s="126"/>
    </row>
    <row r="9" spans="1:36" ht="12.95" customHeight="1" x14ac:dyDescent="0.2">
      <c r="A9" s="63"/>
      <c r="B9" s="30"/>
      <c r="C9" s="30"/>
      <c r="D9" s="30"/>
      <c r="E9" s="30"/>
      <c r="G9" s="688"/>
      <c r="H9" s="689"/>
      <c r="I9" s="689"/>
      <c r="J9" s="690"/>
      <c r="K9" s="153"/>
      <c r="L9" s="52"/>
      <c r="M9" s="34"/>
      <c r="N9" s="34"/>
      <c r="O9" s="385" t="s">
        <v>126</v>
      </c>
      <c r="P9" s="360">
        <v>14</v>
      </c>
      <c r="Q9" s="87">
        <v>186600</v>
      </c>
      <c r="R9" s="34"/>
      <c r="S9" s="386">
        <f t="shared" si="0"/>
        <v>15550</v>
      </c>
      <c r="T9" s="585"/>
      <c r="U9" s="585"/>
      <c r="V9" s="586"/>
      <c r="W9" s="603"/>
      <c r="X9" s="586"/>
      <c r="Y9" s="603"/>
      <c r="Z9" s="587" t="s">
        <v>40</v>
      </c>
      <c r="AA9" s="34"/>
      <c r="AB9" s="34"/>
      <c r="AC9" s="34"/>
      <c r="AD9" s="34"/>
      <c r="AF9" s="109"/>
      <c r="AI9" s="109"/>
      <c r="AJ9" s="126"/>
    </row>
    <row r="10" spans="1:36" ht="12.95" customHeight="1" x14ac:dyDescent="0.2">
      <c r="A10" s="63"/>
      <c r="B10" s="30"/>
      <c r="C10" s="30"/>
      <c r="D10" s="30"/>
      <c r="E10" s="30"/>
      <c r="F10" s="135" t="s">
        <v>44</v>
      </c>
      <c r="G10" s="691"/>
      <c r="H10" s="692"/>
      <c r="I10" s="692"/>
      <c r="J10" s="693"/>
      <c r="K10" s="153"/>
      <c r="L10" s="52"/>
      <c r="M10" s="34"/>
      <c r="N10" s="34"/>
      <c r="O10" s="326" t="s">
        <v>133</v>
      </c>
      <c r="P10" s="360">
        <v>15</v>
      </c>
      <c r="Q10" s="87">
        <v>200000</v>
      </c>
      <c r="R10" s="34"/>
      <c r="S10" s="386">
        <f t="shared" si="0"/>
        <v>16666.666666666668</v>
      </c>
      <c r="T10" s="585"/>
      <c r="U10" s="585"/>
      <c r="V10" s="586"/>
      <c r="W10" s="603"/>
      <c r="X10" s="586"/>
      <c r="Y10" s="603"/>
      <c r="Z10" s="587" t="s">
        <v>40</v>
      </c>
      <c r="AA10" s="34"/>
      <c r="AB10" s="34"/>
      <c r="AC10" s="34"/>
      <c r="AD10" s="34"/>
      <c r="AF10" s="109"/>
      <c r="AI10" s="109"/>
      <c r="AJ10" s="126"/>
    </row>
    <row r="11" spans="1:36" ht="12.95" customHeight="1" x14ac:dyDescent="0.2">
      <c r="A11" s="63"/>
      <c r="B11" s="30"/>
      <c r="C11" s="30"/>
      <c r="D11" s="30"/>
      <c r="E11" s="30"/>
      <c r="G11" s="688"/>
      <c r="H11" s="689"/>
      <c r="I11" s="689"/>
      <c r="J11" s="690"/>
      <c r="K11" s="153"/>
      <c r="L11" s="52"/>
      <c r="M11" s="34"/>
      <c r="N11" s="34"/>
      <c r="O11" s="326" t="s">
        <v>129</v>
      </c>
      <c r="P11" s="360">
        <v>16</v>
      </c>
      <c r="Q11" s="87">
        <v>191300</v>
      </c>
      <c r="R11" s="34"/>
      <c r="S11" s="386">
        <f t="shared" si="0"/>
        <v>15941.666666666666</v>
      </c>
      <c r="T11" s="585"/>
      <c r="U11" s="585"/>
      <c r="V11" s="586"/>
      <c r="W11" s="603"/>
      <c r="X11" s="586"/>
      <c r="Y11" s="603"/>
      <c r="Z11" s="587" t="s">
        <v>40</v>
      </c>
      <c r="AA11" s="34"/>
      <c r="AB11" s="34"/>
      <c r="AC11" s="34"/>
      <c r="AD11" s="34"/>
      <c r="AF11" s="109"/>
      <c r="AI11" s="109"/>
      <c r="AJ11" s="126"/>
    </row>
    <row r="12" spans="1:36" ht="12.95" customHeight="1" x14ac:dyDescent="0.2">
      <c r="A12" s="63"/>
      <c r="B12" s="30"/>
      <c r="C12" s="30"/>
      <c r="D12" s="30"/>
      <c r="E12" s="30"/>
      <c r="F12" s="135" t="s">
        <v>45</v>
      </c>
      <c r="G12" s="691"/>
      <c r="H12" s="692"/>
      <c r="I12" s="692"/>
      <c r="J12" s="693"/>
      <c r="K12" s="153"/>
      <c r="L12" s="52"/>
      <c r="M12" s="34"/>
      <c r="N12" s="34"/>
      <c r="O12" s="431" t="s">
        <v>128</v>
      </c>
      <c r="P12" s="428">
        <v>17</v>
      </c>
      <c r="Q12" s="429">
        <v>207000</v>
      </c>
      <c r="R12" s="154"/>
      <c r="S12" s="430">
        <f t="shared" si="0"/>
        <v>17250</v>
      </c>
      <c r="T12" s="585"/>
      <c r="U12" s="585"/>
      <c r="V12" s="586"/>
      <c r="W12" s="603"/>
      <c r="X12" s="586"/>
      <c r="Y12" s="603"/>
      <c r="Z12" s="587" t="s">
        <v>40</v>
      </c>
      <c r="AA12" s="34"/>
      <c r="AB12" s="34"/>
      <c r="AC12" s="34"/>
      <c r="AD12" s="34"/>
      <c r="AF12" s="109"/>
      <c r="AI12" s="109"/>
      <c r="AJ12" s="126"/>
    </row>
    <row r="13" spans="1:36" ht="12.95" customHeight="1" thickBot="1" x14ac:dyDescent="0.25">
      <c r="A13" s="63"/>
      <c r="B13" s="30"/>
      <c r="C13" s="30"/>
      <c r="D13" s="30"/>
      <c r="E13" s="30"/>
      <c r="F13" s="135"/>
      <c r="G13" s="135"/>
      <c r="H13" s="383"/>
      <c r="I13" s="384"/>
      <c r="K13" s="153"/>
      <c r="L13" s="52"/>
      <c r="M13" s="34"/>
      <c r="N13" s="34"/>
      <c r="O13" s="421" t="s">
        <v>144</v>
      </c>
      <c r="P13" s="422">
        <v>18</v>
      </c>
      <c r="Q13" s="423">
        <v>196700</v>
      </c>
      <c r="R13" s="420"/>
      <c r="S13" s="424">
        <f t="shared" si="0"/>
        <v>16391.666666666668</v>
      </c>
      <c r="T13" s="562"/>
      <c r="U13" s="573"/>
      <c r="V13" s="574"/>
      <c r="W13" s="574"/>
      <c r="X13" s="574"/>
      <c r="Y13" s="574"/>
      <c r="Z13" s="575"/>
      <c r="AA13" s="34"/>
      <c r="AB13" s="34"/>
      <c r="AC13" s="34"/>
      <c r="AD13" s="34"/>
      <c r="AF13" s="109"/>
      <c r="AI13" s="109"/>
      <c r="AJ13" s="126"/>
    </row>
    <row r="14" spans="1:36" ht="12.95" customHeight="1" thickBot="1" x14ac:dyDescent="0.25">
      <c r="A14" s="63"/>
      <c r="B14" s="30"/>
      <c r="C14" s="30"/>
      <c r="D14" s="30"/>
      <c r="E14" s="30"/>
      <c r="F14" s="135"/>
      <c r="G14" s="135"/>
      <c r="H14" s="383"/>
      <c r="I14" s="384"/>
      <c r="K14" s="153"/>
      <c r="L14" s="52"/>
      <c r="M14" s="34"/>
      <c r="N14" s="34"/>
      <c r="O14" s="427" t="s">
        <v>132</v>
      </c>
      <c r="P14" s="428">
        <v>19</v>
      </c>
      <c r="Q14" s="429">
        <v>199700</v>
      </c>
      <c r="R14" s="154"/>
      <c r="S14" s="430">
        <f t="shared" si="0"/>
        <v>16641.666666666668</v>
      </c>
      <c r="T14" s="562"/>
      <c r="U14" s="635" t="s">
        <v>199</v>
      </c>
      <c r="V14" s="636"/>
      <c r="W14" s="577" t="s">
        <v>197</v>
      </c>
      <c r="X14" s="588" t="s">
        <v>40</v>
      </c>
      <c r="Y14" s="577" t="s">
        <v>198</v>
      </c>
      <c r="Z14" s="584"/>
      <c r="AA14" s="34"/>
      <c r="AB14" s="34"/>
      <c r="AC14" s="34"/>
      <c r="AD14" s="34"/>
      <c r="AF14" s="109"/>
      <c r="AI14" s="109"/>
      <c r="AJ14" s="126"/>
    </row>
    <row r="15" spans="1:36" ht="12.95" customHeight="1" thickBot="1" x14ac:dyDescent="0.25">
      <c r="A15" s="63"/>
      <c r="B15" s="30"/>
      <c r="C15" s="30"/>
      <c r="D15" s="30"/>
      <c r="E15" s="30"/>
      <c r="F15" s="135"/>
      <c r="G15" s="135"/>
      <c r="H15" s="383"/>
      <c r="I15" s="384"/>
      <c r="K15" s="153"/>
      <c r="L15" s="312"/>
      <c r="M15" s="154"/>
      <c r="N15" s="154"/>
      <c r="O15" s="427" t="s">
        <v>205</v>
      </c>
      <c r="P15" s="428">
        <v>20</v>
      </c>
      <c r="Q15" s="429">
        <v>179700</v>
      </c>
      <c r="R15" s="154"/>
      <c r="S15" s="430">
        <f t="shared" si="0"/>
        <v>14975</v>
      </c>
      <c r="T15" s="621" t="s">
        <v>216</v>
      </c>
      <c r="U15" s="512" t="s">
        <v>187</v>
      </c>
      <c r="V15" s="513" t="s">
        <v>188</v>
      </c>
      <c r="W15" s="514" t="s">
        <v>189</v>
      </c>
      <c r="X15" s="513" t="s">
        <v>193</v>
      </c>
      <c r="Y15" s="513" t="s">
        <v>194</v>
      </c>
      <c r="Z15" s="582" t="s">
        <v>196</v>
      </c>
      <c r="AA15" s="34"/>
      <c r="AB15" s="34"/>
      <c r="AC15" s="34"/>
      <c r="AD15" s="34"/>
      <c r="AF15" s="109"/>
      <c r="AI15" s="109"/>
      <c r="AJ15" s="126"/>
    </row>
    <row r="16" spans="1:36" ht="12.95" customHeight="1" x14ac:dyDescent="0.2">
      <c r="A16" s="63"/>
      <c r="B16" s="30"/>
      <c r="C16" s="30"/>
      <c r="D16" s="30"/>
      <c r="E16" s="30"/>
      <c r="F16" s="135"/>
      <c r="G16" s="135"/>
      <c r="H16" s="383"/>
      <c r="I16" s="384"/>
      <c r="K16" s="153"/>
      <c r="L16" s="419"/>
      <c r="M16" s="420"/>
      <c r="N16" s="420"/>
      <c r="O16" s="427" t="s">
        <v>176</v>
      </c>
      <c r="P16" s="428">
        <v>21</v>
      </c>
      <c r="Q16" s="429">
        <v>221000</v>
      </c>
      <c r="R16" s="154"/>
      <c r="S16" s="430">
        <f t="shared" si="0"/>
        <v>18416.666666666668</v>
      </c>
      <c r="T16" s="585"/>
      <c r="U16" s="585"/>
      <c r="V16" s="586"/>
      <c r="W16" s="603"/>
      <c r="X16" s="586"/>
      <c r="Y16" s="603"/>
      <c r="Z16" s="587"/>
      <c r="AA16" s="34"/>
      <c r="AB16" s="34"/>
      <c r="AC16" s="34"/>
      <c r="AD16" s="34"/>
      <c r="AF16" s="109"/>
      <c r="AI16" s="109"/>
      <c r="AJ16" s="126"/>
    </row>
    <row r="17" spans="1:36" ht="12.95" customHeight="1" x14ac:dyDescent="0.2">
      <c r="A17" s="63"/>
      <c r="B17" s="30"/>
      <c r="C17" s="30"/>
      <c r="D17" s="30"/>
      <c r="E17" s="30"/>
      <c r="F17" s="135"/>
      <c r="G17" s="135"/>
      <c r="H17" s="383"/>
      <c r="I17" s="384"/>
      <c r="K17" s="153"/>
      <c r="L17" s="312"/>
      <c r="M17" s="154"/>
      <c r="N17" s="154"/>
      <c r="O17" s="427" t="s">
        <v>204</v>
      </c>
      <c r="P17" s="428">
        <v>22</v>
      </c>
      <c r="Q17" s="429">
        <v>181500</v>
      </c>
      <c r="R17" s="154"/>
      <c r="S17" s="430">
        <f t="shared" si="0"/>
        <v>15125</v>
      </c>
      <c r="T17" s="585"/>
      <c r="U17" s="585"/>
      <c r="V17" s="586"/>
      <c r="W17" s="603"/>
      <c r="X17" s="586"/>
      <c r="Y17" s="603"/>
      <c r="Z17" s="587"/>
      <c r="AA17" s="34"/>
      <c r="AB17" s="34"/>
      <c r="AC17" s="34"/>
      <c r="AD17" s="34"/>
      <c r="AF17" s="109"/>
      <c r="AI17" s="109"/>
      <c r="AJ17" s="126"/>
    </row>
    <row r="18" spans="1:36" ht="12.95" customHeight="1" x14ac:dyDescent="0.2">
      <c r="A18" s="63"/>
      <c r="B18" s="30"/>
      <c r="C18" s="30"/>
      <c r="D18" s="30"/>
      <c r="E18" s="30"/>
      <c r="F18" s="135"/>
      <c r="G18" s="135"/>
      <c r="H18" s="383"/>
      <c r="I18" s="384"/>
      <c r="K18" s="153"/>
      <c r="L18" s="312"/>
      <c r="M18" s="154"/>
      <c r="N18" s="154"/>
      <c r="O18" s="427" t="s">
        <v>210</v>
      </c>
      <c r="P18" s="428">
        <v>23</v>
      </c>
      <c r="Q18" s="429">
        <v>250000</v>
      </c>
      <c r="R18" s="154"/>
      <c r="S18" s="430">
        <f t="shared" si="0"/>
        <v>20833.333333333332</v>
      </c>
      <c r="T18" s="585"/>
      <c r="U18" s="585"/>
      <c r="V18" s="586"/>
      <c r="W18" s="603"/>
      <c r="X18" s="586"/>
      <c r="Y18" s="603"/>
      <c r="Z18" s="587"/>
      <c r="AA18" s="34"/>
      <c r="AB18" s="34"/>
      <c r="AC18" s="34"/>
      <c r="AD18" s="34"/>
      <c r="AF18" s="109"/>
      <c r="AI18" s="109"/>
      <c r="AJ18" s="126"/>
    </row>
    <row r="19" spans="1:36" ht="12.95" customHeight="1" thickBot="1" x14ac:dyDescent="0.25">
      <c r="A19" s="63"/>
      <c r="B19" s="30"/>
      <c r="C19" s="30"/>
      <c r="D19" s="30"/>
      <c r="E19" s="30"/>
      <c r="F19" s="135"/>
      <c r="G19" s="135"/>
      <c r="H19" s="383"/>
      <c r="I19" s="384"/>
      <c r="K19" s="153"/>
      <c r="L19" s="312"/>
      <c r="M19" s="154"/>
      <c r="N19" s="154"/>
      <c r="O19" s="427" t="s">
        <v>209</v>
      </c>
      <c r="P19" s="428">
        <v>24</v>
      </c>
      <c r="Q19" s="429">
        <v>183300</v>
      </c>
      <c r="R19" s="154"/>
      <c r="S19" s="430">
        <f>Q19/12</f>
        <v>15275</v>
      </c>
      <c r="T19" s="564"/>
      <c r="U19" s="573"/>
      <c r="V19" s="574"/>
      <c r="W19" s="574"/>
      <c r="X19" s="574"/>
      <c r="Y19" s="574"/>
      <c r="Z19" s="575"/>
      <c r="AA19" s="34"/>
      <c r="AB19" s="34"/>
      <c r="AC19" s="34"/>
      <c r="AD19" s="34"/>
      <c r="AF19" s="109"/>
      <c r="AI19" s="109"/>
      <c r="AJ19" s="126"/>
    </row>
    <row r="20" spans="1:36" ht="12.95" customHeight="1" thickBot="1" x14ac:dyDescent="0.25">
      <c r="A20" s="63"/>
      <c r="B20" s="30"/>
      <c r="C20" s="30"/>
      <c r="D20" s="30"/>
      <c r="E20" s="30"/>
      <c r="F20" s="135"/>
      <c r="G20" s="135"/>
      <c r="H20" s="383"/>
      <c r="I20" s="384"/>
      <c r="K20" s="153"/>
      <c r="L20" s="312"/>
      <c r="M20" s="154"/>
      <c r="N20" s="154"/>
      <c r="O20" s="637" t="s">
        <v>217</v>
      </c>
      <c r="P20" s="428">
        <v>25</v>
      </c>
      <c r="Q20" s="429">
        <v>185100</v>
      </c>
      <c r="R20" s="154"/>
      <c r="S20" s="430">
        <f>Q20/12</f>
        <v>15425</v>
      </c>
      <c r="T20" s="563"/>
      <c r="U20" s="635" t="s">
        <v>200</v>
      </c>
      <c r="V20" s="636"/>
      <c r="W20" s="577" t="s">
        <v>197</v>
      </c>
      <c r="X20" s="588" t="s">
        <v>40</v>
      </c>
      <c r="Y20" s="577" t="s">
        <v>198</v>
      </c>
      <c r="Z20" s="584"/>
      <c r="AA20" s="34"/>
      <c r="AB20" s="34"/>
      <c r="AC20" s="34"/>
      <c r="AD20" s="34"/>
      <c r="AF20" s="109"/>
      <c r="AI20" s="109"/>
      <c r="AJ20" s="126"/>
    </row>
    <row r="21" spans="1:36" ht="12.95" customHeight="1" thickBot="1" x14ac:dyDescent="0.25">
      <c r="A21" s="63"/>
      <c r="B21" s="30"/>
      <c r="C21" s="30"/>
      <c r="D21" s="30"/>
      <c r="E21" s="30"/>
      <c r="F21" s="135"/>
      <c r="G21" s="699"/>
      <c r="H21" s="700"/>
      <c r="I21" s="701"/>
      <c r="K21" s="153"/>
      <c r="L21" s="52"/>
      <c r="M21" s="34"/>
      <c r="N21" s="34"/>
      <c r="O21" s="326"/>
      <c r="P21" s="360"/>
      <c r="Q21" s="87"/>
      <c r="R21" s="34"/>
      <c r="S21" s="386"/>
      <c r="T21" s="621" t="s">
        <v>216</v>
      </c>
      <c r="U21" s="512" t="s">
        <v>187</v>
      </c>
      <c r="V21" s="513" t="s">
        <v>188</v>
      </c>
      <c r="W21" s="514" t="s">
        <v>189</v>
      </c>
      <c r="X21" s="513" t="s">
        <v>193</v>
      </c>
      <c r="Y21" s="513" t="s">
        <v>194</v>
      </c>
      <c r="Z21" s="582" t="s">
        <v>196</v>
      </c>
      <c r="AA21" s="34"/>
      <c r="AB21" s="34"/>
      <c r="AE21" s="109"/>
      <c r="AF21" s="126"/>
    </row>
    <row r="22" spans="1:36" ht="12.75" customHeight="1" x14ac:dyDescent="0.2">
      <c r="A22" s="63"/>
      <c r="B22" s="30"/>
      <c r="C22" s="30"/>
      <c r="D22" s="30"/>
      <c r="E22" s="30"/>
      <c r="F22" s="135" t="s">
        <v>79</v>
      </c>
      <c r="G22" s="702"/>
      <c r="H22" s="703"/>
      <c r="I22" s="704"/>
      <c r="K22" s="154"/>
      <c r="L22" s="34"/>
      <c r="M22" s="34"/>
      <c r="N22" s="34"/>
      <c r="O22" s="71"/>
      <c r="P22" s="135" t="s">
        <v>69</v>
      </c>
      <c r="Q22" s="131" t="str">
        <f>IF(OR(Q33&gt;Fed_Limit,Q34&gt;Fed_Limit,Q35&gt;Fed_Limit,Q36&gt;Fed_Limit),"Yes","No")</f>
        <v>No</v>
      </c>
      <c r="R22" s="131"/>
      <c r="S22" s="79"/>
      <c r="T22" s="585"/>
      <c r="U22" s="627"/>
      <c r="V22" s="628"/>
      <c r="W22" s="623"/>
      <c r="X22" s="628"/>
      <c r="Y22" s="623"/>
      <c r="Z22" s="629"/>
      <c r="AA22" s="131"/>
      <c r="AB22" s="668" t="s">
        <v>36</v>
      </c>
      <c r="AC22" s="670"/>
      <c r="AD22" s="668" t="s">
        <v>34</v>
      </c>
      <c r="AE22" s="669"/>
      <c r="AF22" s="670"/>
    </row>
    <row r="23" spans="1:36" ht="18" customHeight="1" thickBot="1" x14ac:dyDescent="0.25">
      <c r="A23" s="148"/>
      <c r="B23" s="496"/>
      <c r="C23" s="496"/>
      <c r="D23" s="496"/>
      <c r="E23" s="36"/>
      <c r="F23" s="36"/>
      <c r="G23" s="36"/>
      <c r="H23" s="36"/>
      <c r="I23" s="36"/>
      <c r="J23" s="36"/>
      <c r="K23" s="36"/>
      <c r="L23" s="36"/>
      <c r="M23" s="36"/>
      <c r="N23" s="36"/>
      <c r="O23" s="36"/>
      <c r="P23" s="36"/>
      <c r="Q23" s="36"/>
      <c r="R23" s="36"/>
      <c r="S23" s="51"/>
      <c r="T23" s="585"/>
      <c r="U23" s="630"/>
      <c r="V23" s="620"/>
      <c r="W23" s="605"/>
      <c r="X23" s="620"/>
      <c r="Y23" s="605"/>
      <c r="Z23" s="606"/>
      <c r="AA23" s="34"/>
      <c r="AB23" s="122"/>
      <c r="AC23" s="102"/>
      <c r="AD23" s="101"/>
      <c r="AE23" s="101"/>
      <c r="AF23" s="102"/>
    </row>
    <row r="24" spans="1:36"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562"/>
      <c r="U24" s="624"/>
      <c r="V24" s="625"/>
      <c r="W24" s="625"/>
      <c r="X24" s="625"/>
      <c r="Y24" s="625"/>
      <c r="Z24" s="626"/>
      <c r="AA24" s="34"/>
      <c r="AB24" s="122"/>
      <c r="AC24" s="102"/>
      <c r="AD24" s="101"/>
      <c r="AE24" s="101"/>
      <c r="AF24" s="102"/>
    </row>
    <row r="25" spans="1:36" ht="14.25" customHeight="1" thickBot="1" x14ac:dyDescent="0.25">
      <c r="A25" s="245"/>
      <c r="B25" s="401"/>
      <c r="C25" s="401"/>
      <c r="D25" s="401"/>
      <c r="E25" s="34"/>
      <c r="G25" s="55" t="s">
        <v>64</v>
      </c>
      <c r="H25" s="34"/>
      <c r="I25" s="34"/>
      <c r="J25" s="34"/>
      <c r="K25" s="34"/>
      <c r="L25" s="34"/>
      <c r="M25" s="34"/>
      <c r="N25" s="34"/>
      <c r="O25" s="34"/>
      <c r="P25" s="34"/>
      <c r="Q25" s="50"/>
      <c r="R25" s="34"/>
      <c r="S25" s="34"/>
      <c r="T25" s="131"/>
      <c r="U25" s="635" t="s">
        <v>215</v>
      </c>
      <c r="V25" s="604"/>
      <c r="W25" s="578" t="s">
        <v>197</v>
      </c>
      <c r="X25" s="589" t="s">
        <v>40</v>
      </c>
      <c r="Y25" s="580" t="s">
        <v>198</v>
      </c>
      <c r="Z25" s="581"/>
      <c r="AA25" s="34"/>
      <c r="AB25" s="122"/>
      <c r="AC25" s="102"/>
      <c r="AD25" s="101"/>
      <c r="AE25" s="101"/>
      <c r="AF25" s="102"/>
    </row>
    <row r="26" spans="1:36" ht="14.25" customHeight="1" thickBot="1" x14ac:dyDescent="0.25">
      <c r="A26" s="63"/>
      <c r="B26" s="30"/>
      <c r="C26" s="30"/>
      <c r="D26" s="30"/>
      <c r="E26" s="401"/>
      <c r="G26" s="55"/>
      <c r="H26" s="390"/>
      <c r="I26" s="315" t="s">
        <v>80</v>
      </c>
      <c r="J26" s="135" t="s">
        <v>0</v>
      </c>
      <c r="K26" s="207">
        <f>IF(ISERROR(IF(H29="",H26/M37,H29)),0,IF(H29="",H26/M37,H29))</f>
        <v>0</v>
      </c>
      <c r="L26" s="34"/>
      <c r="M26" s="34"/>
      <c r="N26" s="34"/>
      <c r="O26" s="34"/>
      <c r="P26" s="34"/>
      <c r="Q26" s="50"/>
      <c r="R26" s="34"/>
      <c r="S26" s="34"/>
      <c r="T26" s="621" t="s">
        <v>216</v>
      </c>
      <c r="U26" s="631" t="s">
        <v>187</v>
      </c>
      <c r="V26" s="513" t="s">
        <v>188</v>
      </c>
      <c r="W26" s="514" t="s">
        <v>189</v>
      </c>
      <c r="X26" s="513" t="s">
        <v>193</v>
      </c>
      <c r="Y26" s="513" t="s">
        <v>194</v>
      </c>
      <c r="Z26" s="582" t="s">
        <v>196</v>
      </c>
      <c r="AA26" s="34"/>
      <c r="AB26" s="122"/>
      <c r="AC26" s="102"/>
      <c r="AD26" s="101"/>
      <c r="AE26" s="101"/>
      <c r="AF26" s="102"/>
    </row>
    <row r="27" spans="1:36" ht="14.25" customHeight="1" x14ac:dyDescent="0.2">
      <c r="A27" s="245"/>
      <c r="B27" s="401"/>
      <c r="C27" s="401"/>
      <c r="D27" s="401"/>
      <c r="E27" s="246"/>
      <c r="G27" s="34"/>
      <c r="H27" s="34"/>
      <c r="I27" s="34"/>
      <c r="K27" s="34"/>
      <c r="L27" s="34"/>
      <c r="M27" s="34"/>
      <c r="N27" s="34"/>
      <c r="O27" s="34"/>
      <c r="P27" s="34"/>
      <c r="Q27" s="50"/>
      <c r="R27" s="34"/>
      <c r="S27" s="34"/>
      <c r="T27" s="585"/>
      <c r="U27" s="585"/>
      <c r="V27" s="633"/>
      <c r="W27" s="603"/>
      <c r="X27" s="586"/>
      <c r="Y27" s="603"/>
      <c r="Z27" s="587"/>
      <c r="AA27" s="34"/>
      <c r="AB27" s="122"/>
      <c r="AC27" s="102"/>
      <c r="AD27" s="101"/>
      <c r="AE27" s="101"/>
      <c r="AF27" s="102"/>
    </row>
    <row r="28" spans="1:36" ht="13.5" customHeight="1" x14ac:dyDescent="0.2">
      <c r="A28" s="244"/>
      <c r="B28" s="497"/>
      <c r="C28" s="497"/>
      <c r="D28" s="497"/>
      <c r="E28" s="34"/>
      <c r="G28" s="34" t="s">
        <v>65</v>
      </c>
      <c r="H28" s="34"/>
      <c r="I28" s="34"/>
      <c r="J28" s="135" t="s">
        <v>73</v>
      </c>
      <c r="K28" s="34"/>
      <c r="L28" s="34"/>
      <c r="M28" s="34"/>
      <c r="N28" s="34"/>
      <c r="O28" s="34"/>
      <c r="P28" s="34"/>
      <c r="Q28" s="50"/>
      <c r="R28" s="34"/>
      <c r="S28" s="34"/>
      <c r="T28" s="585"/>
      <c r="U28" s="632"/>
      <c r="V28" s="603"/>
      <c r="W28" s="586"/>
      <c r="X28" s="603"/>
      <c r="Y28" s="603"/>
      <c r="Z28" s="587"/>
      <c r="AA28" s="34"/>
      <c r="AB28" s="122"/>
      <c r="AC28" s="102"/>
      <c r="AD28" s="101"/>
      <c r="AE28" s="101"/>
      <c r="AF28" s="102"/>
    </row>
    <row r="29" spans="1:36" ht="13.5" customHeight="1" x14ac:dyDescent="0.2">
      <c r="A29" s="63"/>
      <c r="B29" s="30"/>
      <c r="C29" s="30"/>
      <c r="D29" s="30"/>
      <c r="E29" s="34"/>
      <c r="G29" s="34"/>
      <c r="H29" s="391"/>
      <c r="I29" s="206"/>
      <c r="K29" s="236">
        <f>IF(ISERROR(IF(H26="",H29*M37,H26)),0,IF(H26="",H29*M37,H26))</f>
        <v>0</v>
      </c>
      <c r="L29" s="34"/>
      <c r="M29" s="34"/>
      <c r="N29" s="34"/>
      <c r="O29" s="34"/>
      <c r="P29" s="34"/>
      <c r="Q29" s="50"/>
      <c r="R29" s="34"/>
      <c r="S29" s="34"/>
      <c r="T29" s="585"/>
      <c r="U29" s="586"/>
      <c r="V29" s="634"/>
      <c r="W29" s="603"/>
      <c r="X29" s="603"/>
      <c r="Y29" s="603"/>
      <c r="Z29" s="587"/>
      <c r="AA29" s="34"/>
      <c r="AB29" s="122"/>
      <c r="AC29" s="102"/>
      <c r="AD29" s="101"/>
      <c r="AE29" s="101"/>
      <c r="AF29" s="102"/>
    </row>
    <row r="30" spans="1:36" ht="13.5" thickBot="1" x14ac:dyDescent="0.25">
      <c r="A30" s="148"/>
      <c r="B30" s="496"/>
      <c r="C30" s="496"/>
      <c r="D30" s="496"/>
      <c r="E30" s="210"/>
      <c r="F30" s="210"/>
      <c r="G30" s="210"/>
      <c r="H30" s="235"/>
      <c r="I30" s="36"/>
      <c r="J30" s="36"/>
      <c r="K30" s="36"/>
      <c r="L30" s="36"/>
      <c r="M30" s="36"/>
      <c r="N30" s="36"/>
      <c r="O30" s="36"/>
      <c r="P30" s="36"/>
      <c r="Q30" s="51"/>
      <c r="T30" s="585"/>
      <c r="U30" s="586"/>
      <c r="V30" s="603"/>
      <c r="W30" s="603"/>
      <c r="X30" s="603"/>
      <c r="Y30" s="603"/>
      <c r="Z30" s="587"/>
      <c r="AB30" s="123" t="s">
        <v>32</v>
      </c>
      <c r="AC30" s="103" t="s">
        <v>37</v>
      </c>
      <c r="AD30" s="119" t="s">
        <v>38</v>
      </c>
      <c r="AE30" s="121" t="s">
        <v>35</v>
      </c>
      <c r="AF30" s="120" t="s">
        <v>33</v>
      </c>
    </row>
    <row r="31" spans="1:36" ht="14.25" thickTop="1" thickBot="1" x14ac:dyDescent="0.25">
      <c r="A31" s="63"/>
      <c r="B31" s="30"/>
      <c r="C31" s="30"/>
      <c r="D31" s="30"/>
      <c r="E31" s="34"/>
      <c r="G31" s="143" t="s">
        <v>43</v>
      </c>
      <c r="H31" s="392"/>
      <c r="I31" s="250" t="s">
        <v>80</v>
      </c>
      <c r="J31" s="155"/>
      <c r="K31" s="155"/>
      <c r="L31" s="264"/>
      <c r="M31" s="138" t="s">
        <v>42</v>
      </c>
      <c r="N31" s="92"/>
      <c r="O31" s="92"/>
      <c r="P31" s="92"/>
      <c r="Q31" s="139"/>
      <c r="R31" s="85" t="s">
        <v>40</v>
      </c>
      <c r="S31" s="85"/>
      <c r="T31" s="585"/>
      <c r="U31" s="620"/>
      <c r="V31" s="605"/>
      <c r="W31" s="605"/>
      <c r="X31" s="605"/>
      <c r="Y31" s="605"/>
      <c r="Z31" s="606"/>
      <c r="AA31" s="85"/>
      <c r="AB31" s="112" t="s">
        <v>8</v>
      </c>
      <c r="AC31" s="105">
        <f t="array" ref="AC31">SUM(IF($A$42:$A$67&lt;&gt;"x",$M$42:$M$67,0))</f>
        <v>0</v>
      </c>
      <c r="AD31" s="237">
        <f>AC31*$Q$36</f>
        <v>0</v>
      </c>
      <c r="AE31" s="237">
        <f>AI89*Fed_Limit</f>
        <v>0</v>
      </c>
      <c r="AF31" s="83">
        <f>AJ89*12</f>
        <v>0</v>
      </c>
    </row>
    <row r="32" spans="1:36" ht="15" x14ac:dyDescent="0.25">
      <c r="A32" s="63"/>
      <c r="B32" s="30"/>
      <c r="C32" s="30"/>
      <c r="D32" s="30"/>
      <c r="E32" s="34"/>
      <c r="G32" s="135" t="s">
        <v>1</v>
      </c>
      <c r="H32" s="393"/>
      <c r="I32" s="250" t="s">
        <v>80</v>
      </c>
      <c r="K32" s="156"/>
      <c r="L32" s="55"/>
      <c r="M32" s="413" t="s">
        <v>134</v>
      </c>
      <c r="N32" s="56" t="s">
        <v>3</v>
      </c>
      <c r="O32" s="56" t="s">
        <v>4</v>
      </c>
      <c r="P32" s="56" t="s">
        <v>5</v>
      </c>
      <c r="Q32" s="57" t="s">
        <v>6</v>
      </c>
      <c r="R32" s="131"/>
      <c r="S32" s="131"/>
      <c r="T32" s="131"/>
      <c r="U32" s="131"/>
      <c r="V32" s="131"/>
      <c r="W32" s="131"/>
      <c r="X32" s="131"/>
      <c r="Y32" s="131"/>
      <c r="Z32" s="131"/>
      <c r="AA32" s="131"/>
      <c r="AB32" s="113" t="s">
        <v>3</v>
      </c>
      <c r="AC32" s="106">
        <f t="array" ref="AC32">SUM(IF($A$42:$A$67&lt;&gt;"x",$N$42:$N$67,0))</f>
        <v>0</v>
      </c>
      <c r="AD32" s="238">
        <f>AC32*$Q$36</f>
        <v>0</v>
      </c>
      <c r="AE32" s="238">
        <f>AI90*Fed_Limit</f>
        <v>0</v>
      </c>
      <c r="AF32" s="98">
        <f>AJ90*12</f>
        <v>0</v>
      </c>
    </row>
    <row r="33" spans="1:37" x14ac:dyDescent="0.2">
      <c r="A33" s="270"/>
      <c r="B33" s="55"/>
      <c r="C33" s="55"/>
      <c r="D33" s="55"/>
      <c r="E33" s="55"/>
      <c r="G33" s="135" t="s">
        <v>85</v>
      </c>
      <c r="H33" s="394"/>
      <c r="I33" s="250" t="s">
        <v>80</v>
      </c>
      <c r="K33" s="156" t="s">
        <v>83</v>
      </c>
      <c r="L33" s="55"/>
      <c r="M33" s="399"/>
      <c r="N33" s="38">
        <f>SUM(Instr_Tot_HST_off)</f>
        <v>0</v>
      </c>
      <c r="O33" s="38">
        <f>IF(Scale_Off&gt;=4,SUM(Instr_Tot_HSR_off),0)</f>
        <v>0</v>
      </c>
      <c r="P33" s="38">
        <f>((Q33-(Instr_base_Off+SUM(Instr_Tot_HST_off)+SUM(Instr_Tot_HSR_off))))</f>
        <v>0</v>
      </c>
      <c r="Q33" s="230">
        <f>M33*K26</f>
        <v>0</v>
      </c>
      <c r="R33" s="131"/>
      <c r="S33" s="131"/>
      <c r="T33" s="131"/>
      <c r="U33" s="131"/>
      <c r="V33" s="131"/>
      <c r="W33" s="131"/>
      <c r="X33" s="131"/>
      <c r="Y33" s="131"/>
      <c r="Z33" s="131"/>
      <c r="AA33" s="131"/>
      <c r="AB33" s="113"/>
      <c r="AC33" s="106"/>
      <c r="AD33" s="238"/>
      <c r="AE33" s="238"/>
      <c r="AF33" s="98"/>
    </row>
    <row r="34" spans="1:37" x14ac:dyDescent="0.2">
      <c r="A34" s="63"/>
      <c r="B34" s="30"/>
      <c r="C34" s="30"/>
      <c r="D34" s="30"/>
      <c r="E34" s="34"/>
      <c r="G34" s="135" t="s">
        <v>66</v>
      </c>
      <c r="H34" s="394"/>
      <c r="I34" s="156"/>
      <c r="J34" s="156"/>
      <c r="K34" s="242" t="s">
        <v>75</v>
      </c>
      <c r="L34" s="55"/>
      <c r="M34" s="388"/>
      <c r="N34" s="38">
        <f>SUM(Asst_Tot_HST_Off)</f>
        <v>0</v>
      </c>
      <c r="O34" s="38">
        <f>IF(Scale_Off&gt;=4,SUM(Asst_Tot_HSR_Off),0)</f>
        <v>0</v>
      </c>
      <c r="P34" s="38">
        <f>((Q34-(Asst_base_Off+SUM(Asst_Tot_HST_Off)+SUM(Asst_Tot_HSR_Off))))</f>
        <v>0</v>
      </c>
      <c r="Q34" s="230">
        <f>M34*K26</f>
        <v>0</v>
      </c>
      <c r="R34" s="48"/>
      <c r="S34" s="48"/>
      <c r="T34" s="48"/>
      <c r="U34" s="48"/>
      <c r="V34" s="48"/>
      <c r="W34" s="48"/>
      <c r="X34" s="48"/>
      <c r="Y34" s="159"/>
      <c r="Z34" s="149"/>
      <c r="AA34" s="48"/>
      <c r="AB34" s="113" t="s">
        <v>4</v>
      </c>
      <c r="AC34" s="106">
        <f t="array" ref="AC34">SUM(IF($A$42:$A$67&lt;&gt;"x",$O$42:$O$67,0))</f>
        <v>0</v>
      </c>
      <c r="AD34" s="238">
        <f>AC34*$Q$36</f>
        <v>0</v>
      </c>
      <c r="AE34" s="238">
        <f>AI91*Fed_Limit</f>
        <v>0</v>
      </c>
      <c r="AF34" s="98">
        <f>AJ91*12</f>
        <v>0</v>
      </c>
    </row>
    <row r="35" spans="1:37" x14ac:dyDescent="0.2">
      <c r="A35" s="63"/>
      <c r="B35" s="30"/>
      <c r="C35" s="30"/>
      <c r="D35" s="30"/>
      <c r="E35" s="34"/>
      <c r="G35" s="135" t="s">
        <v>67</v>
      </c>
      <c r="H35" s="394"/>
      <c r="I35" s="156"/>
      <c r="J35" s="156"/>
      <c r="K35" s="242" t="s">
        <v>76</v>
      </c>
      <c r="L35" s="55"/>
      <c r="M35" s="388"/>
      <c r="N35" s="38">
        <f>SUM(Assoc_Tot_HST_Off)</f>
        <v>0</v>
      </c>
      <c r="O35" s="38">
        <f>IF(Scale_Off&gt;=4,SUM(Assoc_Tot_HSR_Off),0)</f>
        <v>0</v>
      </c>
      <c r="P35" s="38">
        <f>(Q35-(Assoc_base_Off+SUM(Assoc_Tot_HST_Off)+SUM(Assoc_Tot_HSR_Off)))</f>
        <v>0</v>
      </c>
      <c r="Q35" s="230">
        <f>M35*K26</f>
        <v>0</v>
      </c>
      <c r="R35" s="48"/>
      <c r="S35" s="48"/>
      <c r="T35" s="48"/>
      <c r="U35" s="48"/>
      <c r="V35" s="48"/>
      <c r="W35" s="48"/>
      <c r="X35" s="48"/>
      <c r="Y35" s="48"/>
      <c r="Z35" s="48"/>
      <c r="AA35" s="48"/>
      <c r="AB35" s="114" t="s">
        <v>5</v>
      </c>
      <c r="AC35" s="107">
        <f t="array" ref="AC35">SUM(IF($A$42:$A$67&lt;&gt;"x",$P$42:$P$67,0))</f>
        <v>0</v>
      </c>
      <c r="AD35" s="239">
        <f>AC35*$Q$36</f>
        <v>0</v>
      </c>
      <c r="AE35" s="239">
        <f>AI92*Fed_Limit</f>
        <v>0</v>
      </c>
      <c r="AF35" s="100">
        <f>AJ92*12</f>
        <v>0</v>
      </c>
    </row>
    <row r="36" spans="1:37" ht="13.5" thickBot="1" x14ac:dyDescent="0.25">
      <c r="A36" s="148"/>
      <c r="B36" s="496"/>
      <c r="C36" s="496"/>
      <c r="D36" s="496"/>
      <c r="E36" s="36"/>
      <c r="F36" s="36"/>
      <c r="G36" s="158" t="s">
        <v>68</v>
      </c>
      <c r="H36" s="395"/>
      <c r="I36" s="157"/>
      <c r="J36" s="157"/>
      <c r="K36" s="243" t="s">
        <v>77</v>
      </c>
      <c r="L36" s="240"/>
      <c r="M36" s="400"/>
      <c r="N36" s="47">
        <f>SUM(Prof_Tot_HST_Off)</f>
        <v>0</v>
      </c>
      <c r="O36" s="47">
        <f>IF(Scale_Off&gt;=4,SUM(Prof_Tot_HSR_Off),0)</f>
        <v>0</v>
      </c>
      <c r="P36" s="40">
        <f>(Q36-(Prof_base_Off+SUM(Prof_Tot_HST_Off)+SUM(Prof_Tot_HSR_Off)))</f>
        <v>0</v>
      </c>
      <c r="Q36" s="212">
        <f>M36*K26</f>
        <v>0</v>
      </c>
      <c r="R36" s="129"/>
      <c r="S36" s="129"/>
      <c r="T36" s="129"/>
      <c r="U36" s="129"/>
      <c r="V36" s="129"/>
      <c r="W36" s="129"/>
      <c r="X36" s="129"/>
      <c r="Y36" s="129"/>
      <c r="Z36" s="129"/>
      <c r="AA36" s="129"/>
      <c r="AB36" s="124" t="s">
        <v>6</v>
      </c>
      <c r="AC36" s="125">
        <f>SUM(AC31:AC35)</f>
        <v>0</v>
      </c>
      <c r="AD36" s="118">
        <f>SUM(AD31:AD35)</f>
        <v>0</v>
      </c>
      <c r="AE36" s="118">
        <f>SUM(AE31:AE35)</f>
        <v>0</v>
      </c>
      <c r="AF36" s="104">
        <f>SUM(AF31:AF35)</f>
        <v>0</v>
      </c>
    </row>
    <row r="37" spans="1:37" ht="13.5" thickTop="1" x14ac:dyDescent="0.2">
      <c r="F37" s="34"/>
      <c r="G37" s="34"/>
      <c r="H37" s="34"/>
      <c r="I37" s="34"/>
      <c r="J37" s="34"/>
      <c r="K37" s="80"/>
      <c r="L37" s="227" t="s">
        <v>70</v>
      </c>
      <c r="M37" s="228">
        <f>SUM(M33:M36)</f>
        <v>0</v>
      </c>
      <c r="N37" s="228">
        <f>SUM(N33:N36)</f>
        <v>0</v>
      </c>
      <c r="O37" s="228">
        <f>SUM(O33:O36)</f>
        <v>0</v>
      </c>
      <c r="P37" s="228">
        <f>SUM(P33:P36)</f>
        <v>0</v>
      </c>
      <c r="Q37" s="228">
        <f>SUM(Q33:Q36)</f>
        <v>0</v>
      </c>
      <c r="R37" s="48"/>
      <c r="S37" s="48"/>
      <c r="T37" s="48"/>
      <c r="U37" s="48"/>
      <c r="V37" s="48"/>
      <c r="W37" s="48"/>
      <c r="X37" s="48"/>
      <c r="Y37" s="48"/>
      <c r="Z37" s="48"/>
      <c r="AA37" s="48"/>
      <c r="AB37" s="8" t="s">
        <v>6</v>
      </c>
      <c r="AC37" s="108"/>
      <c r="AD37" s="99"/>
      <c r="AE37" s="100"/>
      <c r="AF37" s="104"/>
    </row>
    <row r="38" spans="1:37" x14ac:dyDescent="0.2">
      <c r="E38" s="252"/>
      <c r="F38" s="34"/>
      <c r="G38" s="34"/>
      <c r="H38" s="34"/>
      <c r="I38" s="34"/>
      <c r="J38" s="34"/>
      <c r="K38" s="61"/>
      <c r="L38" s="226" t="s">
        <v>71</v>
      </c>
      <c r="M38" s="229">
        <f>M37/12</f>
        <v>0</v>
      </c>
      <c r="N38" s="229">
        <f>N37/12</f>
        <v>0</v>
      </c>
      <c r="O38" s="229">
        <f>O37/12</f>
        <v>0</v>
      </c>
      <c r="P38" s="229">
        <f>P37/12</f>
        <v>0</v>
      </c>
      <c r="Q38" s="229">
        <f>Q37/12</f>
        <v>0</v>
      </c>
      <c r="R38" s="241"/>
      <c r="S38" s="241"/>
      <c r="T38" s="241"/>
      <c r="U38" s="241"/>
      <c r="V38" s="241"/>
      <c r="W38" s="241"/>
      <c r="X38" s="241"/>
      <c r="Y38" s="241"/>
      <c r="Z38" s="241"/>
      <c r="AA38" s="241"/>
      <c r="AB38" s="241"/>
      <c r="AC38" s="241"/>
      <c r="AD38" s="241"/>
      <c r="AF38" s="34"/>
      <c r="AG38" s="48"/>
      <c r="AH38" s="48"/>
      <c r="AI38" s="48"/>
      <c r="AJ38" s="129"/>
    </row>
    <row r="39" spans="1:37" ht="13.5" thickBot="1" x14ac:dyDescent="0.25">
      <c r="A39" s="251" t="s">
        <v>80</v>
      </c>
      <c r="B39" s="251"/>
      <c r="C39" s="251"/>
      <c r="D39" s="251"/>
      <c r="J39" s="354"/>
      <c r="L39" s="352" t="s">
        <v>116</v>
      </c>
      <c r="M39" s="353">
        <f>ROUND(IF(Q37&gt;0,M37/Q37*H31,0),4)</f>
        <v>0</v>
      </c>
      <c r="N39" s="353">
        <f>ROUND(IF(Q37&gt;0,N37/Q37*H31,0),4)</f>
        <v>0</v>
      </c>
      <c r="O39" s="353">
        <f>ROUND(IF(Q37&gt;0,O37/Q37*H31,0),4)</f>
        <v>0</v>
      </c>
      <c r="P39" s="353">
        <f>SUM(Q39-O39-N39-M39)</f>
        <v>0</v>
      </c>
      <c r="Q39" s="353">
        <f>H31</f>
        <v>0</v>
      </c>
      <c r="R39" s="251" t="s">
        <v>80</v>
      </c>
      <c r="Y39" s="136"/>
      <c r="Z39" s="136"/>
      <c r="AA39" s="136"/>
      <c r="AB39" s="136"/>
      <c r="AC39" s="136"/>
      <c r="AD39" s="136"/>
      <c r="AK39" s="53"/>
    </row>
    <row r="40" spans="1:37" ht="13.5" thickBot="1" x14ac:dyDescent="0.25">
      <c r="A40" s="550" t="s">
        <v>49</v>
      </c>
      <c r="B40" s="551"/>
      <c r="C40" s="551"/>
      <c r="D40" s="551"/>
      <c r="E40" s="552"/>
      <c r="F40" s="553"/>
      <c r="G40" s="554"/>
      <c r="H40" s="555"/>
      <c r="I40" s="43"/>
      <c r="J40" s="43"/>
      <c r="K40" s="43"/>
      <c r="L40" s="44"/>
      <c r="M40" s="554" t="s">
        <v>7</v>
      </c>
      <c r="N40" s="43"/>
      <c r="O40" s="43"/>
      <c r="P40" s="44"/>
      <c r="Q40" s="19"/>
      <c r="R40" s="34"/>
      <c r="S40" s="341" t="s">
        <v>86</v>
      </c>
      <c r="T40" s="569"/>
      <c r="U40" s="569"/>
      <c r="V40" s="569"/>
      <c r="W40" s="570"/>
      <c r="X40" s="85"/>
      <c r="Y40" s="85"/>
      <c r="Z40" s="132" t="s">
        <v>40</v>
      </c>
      <c r="AA40" s="85" t="s">
        <v>40</v>
      </c>
      <c r="AB40" s="6"/>
      <c r="AC40" s="6"/>
      <c r="AD40" s="6"/>
      <c r="AE40" s="5"/>
    </row>
    <row r="41" spans="1:37" ht="40.5" customHeight="1" thickBot="1" x14ac:dyDescent="0.25">
      <c r="A41" s="546" t="s">
        <v>46</v>
      </c>
      <c r="B41" s="547" t="s">
        <v>187</v>
      </c>
      <c r="C41" s="222" t="s">
        <v>188</v>
      </c>
      <c r="D41" s="547" t="s">
        <v>189</v>
      </c>
      <c r="E41" s="222" t="s">
        <v>190</v>
      </c>
      <c r="F41" s="222" t="s">
        <v>191</v>
      </c>
      <c r="G41" s="222" t="s">
        <v>192</v>
      </c>
      <c r="H41" s="223" t="s">
        <v>50</v>
      </c>
      <c r="I41" s="224" t="s">
        <v>47</v>
      </c>
      <c r="J41" s="224" t="s">
        <v>88</v>
      </c>
      <c r="K41" s="224" t="s">
        <v>87</v>
      </c>
      <c r="L41" s="225" t="s">
        <v>48</v>
      </c>
      <c r="M41" s="548" t="s">
        <v>135</v>
      </c>
      <c r="N41" s="445" t="s">
        <v>3</v>
      </c>
      <c r="O41" s="445" t="s">
        <v>4</v>
      </c>
      <c r="P41" s="549" t="s">
        <v>5</v>
      </c>
      <c r="Q41" s="559" t="s">
        <v>9</v>
      </c>
      <c r="R41" s="132"/>
      <c r="S41" s="415" t="s">
        <v>136</v>
      </c>
      <c r="T41" s="58" t="s">
        <v>16</v>
      </c>
      <c r="U41" s="58" t="s">
        <v>41</v>
      </c>
      <c r="V41" s="271" t="s">
        <v>17</v>
      </c>
      <c r="W41" s="500" t="s">
        <v>6</v>
      </c>
      <c r="X41" s="132"/>
      <c r="Y41" s="132"/>
      <c r="AB41" s="4" t="s">
        <v>11</v>
      </c>
      <c r="AC41" s="6"/>
      <c r="AD41" s="6"/>
      <c r="AE41" s="5"/>
    </row>
    <row r="42" spans="1:37" ht="2.25" customHeight="1" thickBot="1" x14ac:dyDescent="0.25">
      <c r="A42" s="162"/>
      <c r="B42" s="30"/>
      <c r="C42" s="30"/>
      <c r="D42" s="27"/>
      <c r="E42" s="16"/>
      <c r="F42" s="34"/>
      <c r="G42" s="34"/>
      <c r="H42" s="34"/>
      <c r="I42" s="34"/>
      <c r="J42" s="34"/>
      <c r="K42" s="34"/>
      <c r="L42" s="146"/>
      <c r="M42" s="165"/>
      <c r="N42" s="166"/>
      <c r="O42" s="166"/>
      <c r="P42" s="166"/>
      <c r="Q42" s="55"/>
      <c r="R42" s="55"/>
      <c r="S42" s="442"/>
      <c r="T42" s="217"/>
      <c r="U42" s="217"/>
      <c r="V42" s="217"/>
      <c r="W42" s="272"/>
      <c r="X42" s="55"/>
      <c r="Y42" s="55"/>
      <c r="Z42" s="1"/>
    </row>
    <row r="43" spans="1:37" x14ac:dyDescent="0.2">
      <c r="A43" s="503"/>
      <c r="B43" s="518"/>
      <c r="C43" s="518"/>
      <c r="D43" s="519"/>
      <c r="E43" s="520"/>
      <c r="F43" s="521"/>
      <c r="G43" s="519"/>
      <c r="H43" s="391"/>
      <c r="I43" s="396"/>
      <c r="J43" s="397"/>
      <c r="K43" s="161">
        <f t="shared" ref="K43:K67" si="1">IF(ISERROR(IF(A43="",L43*(Annual_Salary/12),L43*(VLOOKUP(A43,SalaryLimits,2,FALSE))/12)),0,IF(A43="",L43*(Annual_Salary/12),L43*(VLOOKUP(A43,SalaryLimits,2,FALSE))/12))</f>
        <v>0</v>
      </c>
      <c r="L43" s="332">
        <f t="shared" ref="L43:L67" si="2">IF(ISERROR(ROUND(IF(AND(I43="",A43=""),J43/(Annual_Salary/12),IF(AND(I43="",A43&lt;&gt;""),J43/(VLOOKUP(A43,SalaryLimits,2,FALSE)/12),I43)),4)),0,ROUND(IF(AND(I43="",A43=""),J43/(Annual_Salary/12),IF(AND(I43="",A43&lt;&gt;""),J43/(VLOOKUP(A43,SalaryLimits,2,FALSE)/12),I43)),4))</f>
        <v>0</v>
      </c>
      <c r="M43" s="163">
        <f t="shared" ref="M43:M60" si="3">IF(ISERROR(IF(L43&lt;M84,L43,M84)),0,IF(L43&lt;M84,L43,M84))</f>
        <v>0</v>
      </c>
      <c r="N43" s="114">
        <f t="shared" ref="N43:N60" si="4">IF(ISERROR(IF(AB43&lt;N84,AB43,N84)),0,IF(AB43&lt;N84,AB43,N84))</f>
        <v>0</v>
      </c>
      <c r="O43" s="114">
        <f t="shared" ref="O43:O60" si="5">IF(ISERROR(IF(AC43&lt;O84,AC43,O84)),0,IF(AC43&lt;O84,AC43,O84))</f>
        <v>0</v>
      </c>
      <c r="P43" s="164">
        <f t="shared" ref="P43:P60" si="6">IF(ISERROR(IF(AD43&lt;P84,AD43,P84)),0,IF(AD43&lt;P84,AD43,P84))</f>
        <v>0</v>
      </c>
      <c r="Q43" s="220">
        <f t="shared" ref="Q43:Q67" si="7">SUM(M43:P43)</f>
        <v>0</v>
      </c>
      <c r="R43" s="110"/>
      <c r="S43" s="137">
        <f t="shared" ref="S43:S67" si="8">IF(OR(OverCAP="No",A43=""),0,(M43*(Annual_Salary/12))-(M43*(VLOOKUP(A43,SalaryLimits,2,FALSE)/12)))</f>
        <v>0</v>
      </c>
      <c r="T43" s="137">
        <f t="shared" ref="T43:T67" si="9">IF(OR(OverCAP="No",A43=""),0,(N43*(Annual_Salary/12))-(N43*(VLOOKUP(A43,SalaryLimits,2,FALSE)/12)))</f>
        <v>0</v>
      </c>
      <c r="U43" s="137">
        <f t="shared" ref="U43:U67" si="10">IF(OR(OverCAP="No",A43=""),0,(O43*(Annual_Salary/12))-(O43*(VLOOKUP(A43,SalaryLimits,2,FALSE)/12)))</f>
        <v>0</v>
      </c>
      <c r="V43" s="137">
        <f t="shared" ref="V43:V67" si="11">IF(OR(OverCAP="No",A43=""),0,(P43*(Annual_Salary/12))-(P43*(VLOOKUP(A43,SalaryLimits,2,FALSE)/12)))</f>
        <v>0</v>
      </c>
      <c r="W43" s="566">
        <f t="shared" ref="W43:W67" si="12">SUM(S43:V43)</f>
        <v>0</v>
      </c>
      <c r="X43" s="213"/>
      <c r="Y43" s="213"/>
      <c r="Z43" s="1"/>
      <c r="AB43" s="67">
        <f t="shared" ref="AB43:AB67" si="13">L43-M43</f>
        <v>0</v>
      </c>
      <c r="AC43" s="68">
        <f t="shared" ref="AC43:AC67" si="14">L43-M43-N43</f>
        <v>0</v>
      </c>
      <c r="AD43" s="69">
        <f t="shared" ref="AD43:AD67" si="15">L43-M43-N43-O43</f>
        <v>0</v>
      </c>
      <c r="AE43" s="68">
        <f t="shared" ref="AE43:AE67" si="16">L43-M43-N43-O43-P43</f>
        <v>0</v>
      </c>
    </row>
    <row r="44" spans="1:37" x14ac:dyDescent="0.2">
      <c r="A44" s="389"/>
      <c r="B44" s="518"/>
      <c r="C44" s="518"/>
      <c r="D44" s="519"/>
      <c r="E44" s="520"/>
      <c r="F44" s="521"/>
      <c r="G44" s="519"/>
      <c r="H44" s="391"/>
      <c r="I44" s="396"/>
      <c r="J44" s="398"/>
      <c r="K44" s="161">
        <f t="shared" si="1"/>
        <v>0</v>
      </c>
      <c r="L44" s="332">
        <f t="shared" si="2"/>
        <v>0</v>
      </c>
      <c r="M44" s="145">
        <f t="shared" si="3"/>
        <v>0</v>
      </c>
      <c r="N44" s="64">
        <f t="shared" si="4"/>
        <v>0</v>
      </c>
      <c r="O44" s="64">
        <f t="shared" si="5"/>
        <v>0</v>
      </c>
      <c r="P44" s="65">
        <f t="shared" si="6"/>
        <v>0</v>
      </c>
      <c r="Q44" s="221">
        <f t="shared" si="7"/>
        <v>0</v>
      </c>
      <c r="R44" s="110"/>
      <c r="S44" s="218">
        <f t="shared" si="8"/>
        <v>0</v>
      </c>
      <c r="T44" s="219">
        <f t="shared" si="9"/>
        <v>0</v>
      </c>
      <c r="U44" s="219">
        <f t="shared" si="10"/>
        <v>0</v>
      </c>
      <c r="V44" s="219">
        <f t="shared" si="11"/>
        <v>0</v>
      </c>
      <c r="W44" s="336">
        <f t="shared" si="12"/>
        <v>0</v>
      </c>
      <c r="X44" s="213"/>
      <c r="Y44" s="213"/>
      <c r="Z44" s="1"/>
      <c r="AB44" s="67">
        <f t="shared" si="13"/>
        <v>0</v>
      </c>
      <c r="AC44" s="68">
        <f t="shared" si="14"/>
        <v>0</v>
      </c>
      <c r="AD44" s="69">
        <f t="shared" si="15"/>
        <v>0</v>
      </c>
      <c r="AE44" s="68">
        <f t="shared" si="16"/>
        <v>0</v>
      </c>
    </row>
    <row r="45" spans="1:37" x14ac:dyDescent="0.2">
      <c r="A45" s="503"/>
      <c r="B45" s="518"/>
      <c r="C45" s="518"/>
      <c r="D45" s="519"/>
      <c r="E45" s="520"/>
      <c r="F45" s="521"/>
      <c r="G45" s="519"/>
      <c r="H45" s="391"/>
      <c r="I45" s="396"/>
      <c r="J45" s="398"/>
      <c r="K45" s="161">
        <f t="shared" si="1"/>
        <v>0</v>
      </c>
      <c r="L45" s="332">
        <f t="shared" si="2"/>
        <v>0</v>
      </c>
      <c r="M45" s="145">
        <f t="shared" si="3"/>
        <v>0</v>
      </c>
      <c r="N45" s="64">
        <f t="shared" si="4"/>
        <v>0</v>
      </c>
      <c r="O45" s="64">
        <f t="shared" si="5"/>
        <v>0</v>
      </c>
      <c r="P45" s="65">
        <f t="shared" si="6"/>
        <v>0</v>
      </c>
      <c r="Q45" s="221">
        <f t="shared" si="7"/>
        <v>0</v>
      </c>
      <c r="R45" s="110"/>
      <c r="S45" s="218">
        <f t="shared" si="8"/>
        <v>0</v>
      </c>
      <c r="T45" s="219">
        <f t="shared" si="9"/>
        <v>0</v>
      </c>
      <c r="U45" s="219">
        <f t="shared" si="10"/>
        <v>0</v>
      </c>
      <c r="V45" s="219">
        <f t="shared" si="11"/>
        <v>0</v>
      </c>
      <c r="W45" s="336">
        <f t="shared" si="12"/>
        <v>0</v>
      </c>
      <c r="X45" s="213"/>
      <c r="Y45" s="213"/>
      <c r="Z45" s="1"/>
      <c r="AB45" s="67">
        <f t="shared" si="13"/>
        <v>0</v>
      </c>
      <c r="AC45" s="68">
        <f t="shared" si="14"/>
        <v>0</v>
      </c>
      <c r="AD45" s="69">
        <f t="shared" si="15"/>
        <v>0</v>
      </c>
      <c r="AE45" s="68">
        <f t="shared" si="16"/>
        <v>0</v>
      </c>
    </row>
    <row r="46" spans="1:37" x14ac:dyDescent="0.2">
      <c r="A46" s="503"/>
      <c r="B46" s="518"/>
      <c r="C46" s="518"/>
      <c r="D46" s="519"/>
      <c r="E46" s="520"/>
      <c r="F46" s="521"/>
      <c r="G46" s="519"/>
      <c r="H46" s="391"/>
      <c r="I46" s="396"/>
      <c r="J46" s="398"/>
      <c r="K46" s="161">
        <f t="shared" si="1"/>
        <v>0</v>
      </c>
      <c r="L46" s="332">
        <f t="shared" si="2"/>
        <v>0</v>
      </c>
      <c r="M46" s="145">
        <f t="shared" si="3"/>
        <v>0</v>
      </c>
      <c r="N46" s="64">
        <f t="shared" si="4"/>
        <v>0</v>
      </c>
      <c r="O46" s="64">
        <f t="shared" si="5"/>
        <v>0</v>
      </c>
      <c r="P46" s="65">
        <f t="shared" si="6"/>
        <v>0</v>
      </c>
      <c r="Q46" s="221">
        <f t="shared" si="7"/>
        <v>0</v>
      </c>
      <c r="R46" s="110"/>
      <c r="S46" s="218">
        <f t="shared" si="8"/>
        <v>0</v>
      </c>
      <c r="T46" s="219">
        <f t="shared" si="9"/>
        <v>0</v>
      </c>
      <c r="U46" s="219">
        <f t="shared" si="10"/>
        <v>0</v>
      </c>
      <c r="V46" s="219">
        <f t="shared" si="11"/>
        <v>0</v>
      </c>
      <c r="W46" s="336">
        <f t="shared" si="12"/>
        <v>0</v>
      </c>
      <c r="X46" s="213"/>
      <c r="Y46" s="213"/>
      <c r="Z46" s="1"/>
      <c r="AB46" s="67">
        <f t="shared" si="13"/>
        <v>0</v>
      </c>
      <c r="AC46" s="68">
        <f t="shared" si="14"/>
        <v>0</v>
      </c>
      <c r="AD46" s="69">
        <f t="shared" si="15"/>
        <v>0</v>
      </c>
      <c r="AE46" s="68">
        <f t="shared" si="16"/>
        <v>0</v>
      </c>
    </row>
    <row r="47" spans="1:37" x14ac:dyDescent="0.2">
      <c r="A47" s="503"/>
      <c r="B47" s="518"/>
      <c r="C47" s="518"/>
      <c r="D47" s="519"/>
      <c r="E47" s="520"/>
      <c r="F47" s="521"/>
      <c r="G47" s="519"/>
      <c r="H47" s="391"/>
      <c r="I47" s="396"/>
      <c r="J47" s="398"/>
      <c r="K47" s="161">
        <f t="shared" si="1"/>
        <v>0</v>
      </c>
      <c r="L47" s="332">
        <f t="shared" si="2"/>
        <v>0</v>
      </c>
      <c r="M47" s="145">
        <f t="shared" si="3"/>
        <v>0</v>
      </c>
      <c r="N47" s="64">
        <f t="shared" si="4"/>
        <v>0</v>
      </c>
      <c r="O47" s="64">
        <f t="shared" si="5"/>
        <v>0</v>
      </c>
      <c r="P47" s="65">
        <f t="shared" si="6"/>
        <v>0</v>
      </c>
      <c r="Q47" s="221">
        <f t="shared" si="7"/>
        <v>0</v>
      </c>
      <c r="R47" s="110"/>
      <c r="S47" s="218">
        <f t="shared" si="8"/>
        <v>0</v>
      </c>
      <c r="T47" s="219">
        <f t="shared" si="9"/>
        <v>0</v>
      </c>
      <c r="U47" s="219">
        <f t="shared" si="10"/>
        <v>0</v>
      </c>
      <c r="V47" s="219">
        <f t="shared" si="11"/>
        <v>0</v>
      </c>
      <c r="W47" s="336">
        <f t="shared" si="12"/>
        <v>0</v>
      </c>
      <c r="X47" s="213"/>
      <c r="Y47" s="213"/>
      <c r="Z47" s="1"/>
      <c r="AB47" s="67">
        <f t="shared" si="13"/>
        <v>0</v>
      </c>
      <c r="AC47" s="68">
        <f t="shared" si="14"/>
        <v>0</v>
      </c>
      <c r="AD47" s="69">
        <f t="shared" si="15"/>
        <v>0</v>
      </c>
      <c r="AE47" s="68">
        <f t="shared" si="16"/>
        <v>0</v>
      </c>
    </row>
    <row r="48" spans="1:37" x14ac:dyDescent="0.2">
      <c r="A48" s="503"/>
      <c r="B48" s="518"/>
      <c r="C48" s="518"/>
      <c r="D48" s="519"/>
      <c r="E48" s="520"/>
      <c r="F48" s="521"/>
      <c r="G48" s="519"/>
      <c r="H48" s="391"/>
      <c r="I48" s="396"/>
      <c r="J48" s="398"/>
      <c r="K48" s="161">
        <f t="shared" si="1"/>
        <v>0</v>
      </c>
      <c r="L48" s="332">
        <f t="shared" si="2"/>
        <v>0</v>
      </c>
      <c r="M48" s="145">
        <f t="shared" si="3"/>
        <v>0</v>
      </c>
      <c r="N48" s="64">
        <f t="shared" si="4"/>
        <v>0</v>
      </c>
      <c r="O48" s="64">
        <f t="shared" si="5"/>
        <v>0</v>
      </c>
      <c r="P48" s="65">
        <f t="shared" si="6"/>
        <v>0</v>
      </c>
      <c r="Q48" s="221">
        <f t="shared" si="7"/>
        <v>0</v>
      </c>
      <c r="R48" s="110"/>
      <c r="S48" s="218">
        <f t="shared" si="8"/>
        <v>0</v>
      </c>
      <c r="T48" s="219">
        <f t="shared" si="9"/>
        <v>0</v>
      </c>
      <c r="U48" s="219">
        <f t="shared" si="10"/>
        <v>0</v>
      </c>
      <c r="V48" s="219">
        <f t="shared" si="11"/>
        <v>0</v>
      </c>
      <c r="W48" s="336">
        <f t="shared" si="12"/>
        <v>0</v>
      </c>
      <c r="X48" s="213"/>
      <c r="Y48" s="213"/>
      <c r="Z48" s="1"/>
      <c r="AB48" s="67">
        <f t="shared" si="13"/>
        <v>0</v>
      </c>
      <c r="AC48" s="68">
        <f t="shared" si="14"/>
        <v>0</v>
      </c>
      <c r="AD48" s="69">
        <f t="shared" si="15"/>
        <v>0</v>
      </c>
      <c r="AE48" s="68">
        <f t="shared" si="16"/>
        <v>0</v>
      </c>
    </row>
    <row r="49" spans="1:33" x14ac:dyDescent="0.2">
      <c r="A49" s="503"/>
      <c r="B49" s="518"/>
      <c r="C49" s="518"/>
      <c r="D49" s="519"/>
      <c r="E49" s="520"/>
      <c r="F49" s="521"/>
      <c r="G49" s="519"/>
      <c r="H49" s="391"/>
      <c r="I49" s="396"/>
      <c r="J49" s="398"/>
      <c r="K49" s="161">
        <f t="shared" si="1"/>
        <v>0</v>
      </c>
      <c r="L49" s="332">
        <f t="shared" si="2"/>
        <v>0</v>
      </c>
      <c r="M49" s="145">
        <f t="shared" si="3"/>
        <v>0</v>
      </c>
      <c r="N49" s="64">
        <f t="shared" si="4"/>
        <v>0</v>
      </c>
      <c r="O49" s="64">
        <f t="shared" si="5"/>
        <v>0</v>
      </c>
      <c r="P49" s="65">
        <f t="shared" si="6"/>
        <v>0</v>
      </c>
      <c r="Q49" s="221">
        <f t="shared" si="7"/>
        <v>0</v>
      </c>
      <c r="R49" s="110"/>
      <c r="S49" s="218">
        <f t="shared" si="8"/>
        <v>0</v>
      </c>
      <c r="T49" s="219">
        <f t="shared" si="9"/>
        <v>0</v>
      </c>
      <c r="U49" s="219">
        <f t="shared" si="10"/>
        <v>0</v>
      </c>
      <c r="V49" s="219">
        <f t="shared" si="11"/>
        <v>0</v>
      </c>
      <c r="W49" s="336">
        <f t="shared" si="12"/>
        <v>0</v>
      </c>
      <c r="X49" s="213"/>
      <c r="Y49" s="213"/>
      <c r="Z49" s="1"/>
      <c r="AB49" s="67">
        <f t="shared" si="13"/>
        <v>0</v>
      </c>
      <c r="AC49" s="68">
        <f t="shared" si="14"/>
        <v>0</v>
      </c>
      <c r="AD49" s="69">
        <f t="shared" si="15"/>
        <v>0</v>
      </c>
      <c r="AE49" s="68">
        <f t="shared" si="16"/>
        <v>0</v>
      </c>
    </row>
    <row r="50" spans="1:33" x14ac:dyDescent="0.2">
      <c r="A50" s="503"/>
      <c r="B50" s="518"/>
      <c r="C50" s="518"/>
      <c r="D50" s="519"/>
      <c r="E50" s="520"/>
      <c r="F50" s="519"/>
      <c r="G50" s="519"/>
      <c r="H50" s="391"/>
      <c r="I50" s="396"/>
      <c r="J50" s="398"/>
      <c r="K50" s="161">
        <f t="shared" si="1"/>
        <v>0</v>
      </c>
      <c r="L50" s="332">
        <f t="shared" si="2"/>
        <v>0</v>
      </c>
      <c r="M50" s="145">
        <f t="shared" si="3"/>
        <v>0</v>
      </c>
      <c r="N50" s="64">
        <f t="shared" si="4"/>
        <v>0</v>
      </c>
      <c r="O50" s="64">
        <f t="shared" si="5"/>
        <v>0</v>
      </c>
      <c r="P50" s="65">
        <f t="shared" si="6"/>
        <v>0</v>
      </c>
      <c r="Q50" s="221">
        <f t="shared" si="7"/>
        <v>0</v>
      </c>
      <c r="R50" s="110"/>
      <c r="S50" s="218">
        <f t="shared" si="8"/>
        <v>0</v>
      </c>
      <c r="T50" s="219">
        <f t="shared" si="9"/>
        <v>0</v>
      </c>
      <c r="U50" s="219">
        <f t="shared" si="10"/>
        <v>0</v>
      </c>
      <c r="V50" s="219">
        <f t="shared" si="11"/>
        <v>0</v>
      </c>
      <c r="W50" s="336">
        <f t="shared" si="12"/>
        <v>0</v>
      </c>
      <c r="X50" s="213"/>
      <c r="Y50" s="213"/>
      <c r="Z50" s="1"/>
      <c r="AB50" s="67">
        <f t="shared" si="13"/>
        <v>0</v>
      </c>
      <c r="AC50" s="68">
        <f t="shared" si="14"/>
        <v>0</v>
      </c>
      <c r="AD50" s="69">
        <f t="shared" si="15"/>
        <v>0</v>
      </c>
      <c r="AE50" s="68">
        <f t="shared" si="16"/>
        <v>0</v>
      </c>
    </row>
    <row r="51" spans="1:33" x14ac:dyDescent="0.2">
      <c r="A51" s="503"/>
      <c r="B51" s="518"/>
      <c r="C51" s="518"/>
      <c r="D51" s="519"/>
      <c r="E51" s="520"/>
      <c r="F51" s="519"/>
      <c r="G51" s="519"/>
      <c r="H51" s="391"/>
      <c r="I51" s="396"/>
      <c r="J51" s="398"/>
      <c r="K51" s="161">
        <f t="shared" si="1"/>
        <v>0</v>
      </c>
      <c r="L51" s="332">
        <f t="shared" si="2"/>
        <v>0</v>
      </c>
      <c r="M51" s="145">
        <f t="shared" si="3"/>
        <v>0</v>
      </c>
      <c r="N51" s="64">
        <f t="shared" si="4"/>
        <v>0</v>
      </c>
      <c r="O51" s="64">
        <f t="shared" si="5"/>
        <v>0</v>
      </c>
      <c r="P51" s="65">
        <f t="shared" si="6"/>
        <v>0</v>
      </c>
      <c r="Q51" s="221">
        <f t="shared" si="7"/>
        <v>0</v>
      </c>
      <c r="R51" s="110"/>
      <c r="S51" s="218">
        <f t="shared" si="8"/>
        <v>0</v>
      </c>
      <c r="T51" s="219">
        <f t="shared" si="9"/>
        <v>0</v>
      </c>
      <c r="U51" s="219">
        <f t="shared" si="10"/>
        <v>0</v>
      </c>
      <c r="V51" s="219">
        <f t="shared" si="11"/>
        <v>0</v>
      </c>
      <c r="W51" s="336">
        <f t="shared" si="12"/>
        <v>0</v>
      </c>
      <c r="X51" s="213"/>
      <c r="Y51" s="213"/>
      <c r="Z51" s="1"/>
      <c r="AB51" s="67">
        <f t="shared" si="13"/>
        <v>0</v>
      </c>
      <c r="AC51" s="68">
        <f t="shared" si="14"/>
        <v>0</v>
      </c>
      <c r="AD51" s="69">
        <f t="shared" si="15"/>
        <v>0</v>
      </c>
      <c r="AE51" s="68">
        <f t="shared" si="16"/>
        <v>0</v>
      </c>
    </row>
    <row r="52" spans="1:33" x14ac:dyDescent="0.2">
      <c r="A52" s="503"/>
      <c r="B52" s="518"/>
      <c r="C52" s="518"/>
      <c r="D52" s="519"/>
      <c r="E52" s="520"/>
      <c r="F52" s="519"/>
      <c r="G52" s="519"/>
      <c r="H52" s="391"/>
      <c r="I52" s="396"/>
      <c r="J52" s="398"/>
      <c r="K52" s="161">
        <f t="shared" si="1"/>
        <v>0</v>
      </c>
      <c r="L52" s="332">
        <f t="shared" si="2"/>
        <v>0</v>
      </c>
      <c r="M52" s="145">
        <f t="shared" si="3"/>
        <v>0</v>
      </c>
      <c r="N52" s="64">
        <f t="shared" si="4"/>
        <v>0</v>
      </c>
      <c r="O52" s="64">
        <f t="shared" si="5"/>
        <v>0</v>
      </c>
      <c r="P52" s="65">
        <f t="shared" si="6"/>
        <v>0</v>
      </c>
      <c r="Q52" s="221">
        <f t="shared" si="7"/>
        <v>0</v>
      </c>
      <c r="R52" s="110"/>
      <c r="S52" s="218">
        <f t="shared" si="8"/>
        <v>0</v>
      </c>
      <c r="T52" s="219">
        <f t="shared" si="9"/>
        <v>0</v>
      </c>
      <c r="U52" s="219">
        <f t="shared" si="10"/>
        <v>0</v>
      </c>
      <c r="V52" s="219">
        <f t="shared" si="11"/>
        <v>0</v>
      </c>
      <c r="W52" s="336">
        <f t="shared" si="12"/>
        <v>0</v>
      </c>
      <c r="X52" s="213"/>
      <c r="Y52" s="213"/>
      <c r="Z52" s="1"/>
      <c r="AB52" s="67">
        <f t="shared" si="13"/>
        <v>0</v>
      </c>
      <c r="AC52" s="68">
        <f t="shared" si="14"/>
        <v>0</v>
      </c>
      <c r="AD52" s="69">
        <f t="shared" si="15"/>
        <v>0</v>
      </c>
      <c r="AE52" s="68">
        <f t="shared" si="16"/>
        <v>0</v>
      </c>
    </row>
    <row r="53" spans="1:33" x14ac:dyDescent="0.2">
      <c r="A53" s="503"/>
      <c r="B53" s="518"/>
      <c r="C53" s="518"/>
      <c r="D53" s="519"/>
      <c r="E53" s="520"/>
      <c r="F53" s="519"/>
      <c r="G53" s="519"/>
      <c r="H53" s="391"/>
      <c r="I53" s="396"/>
      <c r="J53" s="398"/>
      <c r="K53" s="161">
        <f t="shared" si="1"/>
        <v>0</v>
      </c>
      <c r="L53" s="332">
        <f t="shared" si="2"/>
        <v>0</v>
      </c>
      <c r="M53" s="145">
        <f t="shared" si="3"/>
        <v>0</v>
      </c>
      <c r="N53" s="64">
        <f t="shared" si="4"/>
        <v>0</v>
      </c>
      <c r="O53" s="64">
        <f t="shared" si="5"/>
        <v>0</v>
      </c>
      <c r="P53" s="65">
        <f t="shared" si="6"/>
        <v>0</v>
      </c>
      <c r="Q53" s="221">
        <f t="shared" si="7"/>
        <v>0</v>
      </c>
      <c r="R53" s="110"/>
      <c r="S53" s="218">
        <f t="shared" si="8"/>
        <v>0</v>
      </c>
      <c r="T53" s="219">
        <f t="shared" si="9"/>
        <v>0</v>
      </c>
      <c r="U53" s="219">
        <f t="shared" si="10"/>
        <v>0</v>
      </c>
      <c r="V53" s="219">
        <f t="shared" si="11"/>
        <v>0</v>
      </c>
      <c r="W53" s="336">
        <f t="shared" si="12"/>
        <v>0</v>
      </c>
      <c r="X53" s="213"/>
      <c r="Y53" s="213"/>
      <c r="Z53" s="1"/>
      <c r="AB53" s="67">
        <f t="shared" si="13"/>
        <v>0</v>
      </c>
      <c r="AC53" s="68">
        <f t="shared" si="14"/>
        <v>0</v>
      </c>
      <c r="AD53" s="69">
        <f t="shared" si="15"/>
        <v>0</v>
      </c>
      <c r="AE53" s="68">
        <f t="shared" si="16"/>
        <v>0</v>
      </c>
    </row>
    <row r="54" spans="1:33" x14ac:dyDescent="0.2">
      <c r="A54" s="503"/>
      <c r="B54" s="518"/>
      <c r="C54" s="518"/>
      <c r="D54" s="519"/>
      <c r="E54" s="520"/>
      <c r="F54" s="519"/>
      <c r="G54" s="519"/>
      <c r="H54" s="391"/>
      <c r="I54" s="396"/>
      <c r="J54" s="398"/>
      <c r="K54" s="161">
        <f t="shared" si="1"/>
        <v>0</v>
      </c>
      <c r="L54" s="332">
        <f t="shared" si="2"/>
        <v>0</v>
      </c>
      <c r="M54" s="145">
        <f t="shared" si="3"/>
        <v>0</v>
      </c>
      <c r="N54" s="64">
        <f t="shared" si="4"/>
        <v>0</v>
      </c>
      <c r="O54" s="64">
        <f t="shared" si="5"/>
        <v>0</v>
      </c>
      <c r="P54" s="65">
        <f t="shared" si="6"/>
        <v>0</v>
      </c>
      <c r="Q54" s="221">
        <f t="shared" si="7"/>
        <v>0</v>
      </c>
      <c r="R54" s="110"/>
      <c r="S54" s="218">
        <f t="shared" si="8"/>
        <v>0</v>
      </c>
      <c r="T54" s="219">
        <f t="shared" si="9"/>
        <v>0</v>
      </c>
      <c r="U54" s="219">
        <f t="shared" si="10"/>
        <v>0</v>
      </c>
      <c r="V54" s="219">
        <f t="shared" si="11"/>
        <v>0</v>
      </c>
      <c r="W54" s="336">
        <f t="shared" si="12"/>
        <v>0</v>
      </c>
      <c r="X54" s="213"/>
      <c r="Y54" s="213"/>
      <c r="Z54" s="1"/>
      <c r="AB54" s="67">
        <f t="shared" si="13"/>
        <v>0</v>
      </c>
      <c r="AC54" s="68">
        <f t="shared" si="14"/>
        <v>0</v>
      </c>
      <c r="AD54" s="69">
        <f t="shared" si="15"/>
        <v>0</v>
      </c>
      <c r="AE54" s="68">
        <f t="shared" si="16"/>
        <v>0</v>
      </c>
    </row>
    <row r="55" spans="1:33" x14ac:dyDescent="0.2">
      <c r="A55" s="503"/>
      <c r="B55" s="518"/>
      <c r="C55" s="518"/>
      <c r="D55" s="519"/>
      <c r="E55" s="520"/>
      <c r="F55" s="519"/>
      <c r="G55" s="519"/>
      <c r="H55" s="391"/>
      <c r="I55" s="396"/>
      <c r="J55" s="398"/>
      <c r="K55" s="161">
        <f t="shared" si="1"/>
        <v>0</v>
      </c>
      <c r="L55" s="332">
        <f t="shared" si="2"/>
        <v>0</v>
      </c>
      <c r="M55" s="145">
        <f t="shared" si="3"/>
        <v>0</v>
      </c>
      <c r="N55" s="64">
        <f t="shared" si="4"/>
        <v>0</v>
      </c>
      <c r="O55" s="64">
        <f t="shared" si="5"/>
        <v>0</v>
      </c>
      <c r="P55" s="65">
        <f t="shared" si="6"/>
        <v>0</v>
      </c>
      <c r="Q55" s="221">
        <f t="shared" si="7"/>
        <v>0</v>
      </c>
      <c r="R55" s="110"/>
      <c r="S55" s="218">
        <f t="shared" si="8"/>
        <v>0</v>
      </c>
      <c r="T55" s="219">
        <f t="shared" si="9"/>
        <v>0</v>
      </c>
      <c r="U55" s="219">
        <f t="shared" si="10"/>
        <v>0</v>
      </c>
      <c r="V55" s="219">
        <f t="shared" si="11"/>
        <v>0</v>
      </c>
      <c r="W55" s="336">
        <f t="shared" si="12"/>
        <v>0</v>
      </c>
      <c r="X55" s="213"/>
      <c r="Y55" s="213"/>
      <c r="Z55" s="1"/>
      <c r="AB55" s="67">
        <f t="shared" si="13"/>
        <v>0</v>
      </c>
      <c r="AC55" s="68">
        <f t="shared" si="14"/>
        <v>0</v>
      </c>
      <c r="AD55" s="69">
        <f t="shared" si="15"/>
        <v>0</v>
      </c>
      <c r="AE55" s="68">
        <f t="shared" si="16"/>
        <v>0</v>
      </c>
    </row>
    <row r="56" spans="1:33" x14ac:dyDescent="0.2">
      <c r="A56" s="503"/>
      <c r="B56" s="518"/>
      <c r="C56" s="518"/>
      <c r="D56" s="519"/>
      <c r="E56" s="520"/>
      <c r="F56" s="519"/>
      <c r="G56" s="519"/>
      <c r="H56" s="391"/>
      <c r="I56" s="396"/>
      <c r="J56" s="398"/>
      <c r="K56" s="161">
        <f t="shared" si="1"/>
        <v>0</v>
      </c>
      <c r="L56" s="332">
        <f t="shared" si="2"/>
        <v>0</v>
      </c>
      <c r="M56" s="145">
        <f t="shared" si="3"/>
        <v>0</v>
      </c>
      <c r="N56" s="64">
        <f t="shared" si="4"/>
        <v>0</v>
      </c>
      <c r="O56" s="64">
        <f t="shared" si="5"/>
        <v>0</v>
      </c>
      <c r="P56" s="65">
        <f t="shared" si="6"/>
        <v>0</v>
      </c>
      <c r="Q56" s="221">
        <f t="shared" si="7"/>
        <v>0</v>
      </c>
      <c r="R56" s="110"/>
      <c r="S56" s="218">
        <f t="shared" si="8"/>
        <v>0</v>
      </c>
      <c r="T56" s="219">
        <f t="shared" si="9"/>
        <v>0</v>
      </c>
      <c r="U56" s="219">
        <f t="shared" si="10"/>
        <v>0</v>
      </c>
      <c r="V56" s="219">
        <f t="shared" si="11"/>
        <v>0</v>
      </c>
      <c r="W56" s="336">
        <f t="shared" si="12"/>
        <v>0</v>
      </c>
      <c r="X56" s="213"/>
      <c r="Y56" s="213"/>
      <c r="Z56" s="1"/>
      <c r="AB56" s="67">
        <f t="shared" si="13"/>
        <v>0</v>
      </c>
      <c r="AC56" s="68">
        <f t="shared" si="14"/>
        <v>0</v>
      </c>
      <c r="AD56" s="69">
        <f t="shared" si="15"/>
        <v>0</v>
      </c>
      <c r="AE56" s="68">
        <f t="shared" si="16"/>
        <v>0</v>
      </c>
    </row>
    <row r="57" spans="1:33" x14ac:dyDescent="0.2">
      <c r="A57" s="503"/>
      <c r="B57" s="518"/>
      <c r="C57" s="518"/>
      <c r="D57" s="519"/>
      <c r="E57" s="520"/>
      <c r="F57" s="519"/>
      <c r="G57" s="519"/>
      <c r="H57" s="391"/>
      <c r="I57" s="396"/>
      <c r="J57" s="398"/>
      <c r="K57" s="161">
        <f t="shared" si="1"/>
        <v>0</v>
      </c>
      <c r="L57" s="332">
        <f t="shared" si="2"/>
        <v>0</v>
      </c>
      <c r="M57" s="145">
        <f t="shared" si="3"/>
        <v>0</v>
      </c>
      <c r="N57" s="64">
        <f t="shared" si="4"/>
        <v>0</v>
      </c>
      <c r="O57" s="64">
        <f t="shared" si="5"/>
        <v>0</v>
      </c>
      <c r="P57" s="65">
        <f t="shared" si="6"/>
        <v>0</v>
      </c>
      <c r="Q57" s="221">
        <f t="shared" si="7"/>
        <v>0</v>
      </c>
      <c r="R57" s="110"/>
      <c r="S57" s="218">
        <f t="shared" si="8"/>
        <v>0</v>
      </c>
      <c r="T57" s="219">
        <f t="shared" si="9"/>
        <v>0</v>
      </c>
      <c r="U57" s="219">
        <f t="shared" si="10"/>
        <v>0</v>
      </c>
      <c r="V57" s="219">
        <f t="shared" si="11"/>
        <v>0</v>
      </c>
      <c r="W57" s="336">
        <f t="shared" si="12"/>
        <v>0</v>
      </c>
      <c r="X57" s="213"/>
      <c r="Y57" s="213"/>
      <c r="Z57" s="1"/>
      <c r="AB57" s="67">
        <f t="shared" si="13"/>
        <v>0</v>
      </c>
      <c r="AC57" s="68">
        <f t="shared" si="14"/>
        <v>0</v>
      </c>
      <c r="AD57" s="69">
        <f t="shared" si="15"/>
        <v>0</v>
      </c>
      <c r="AE57" s="68">
        <f t="shared" si="16"/>
        <v>0</v>
      </c>
    </row>
    <row r="58" spans="1:33" x14ac:dyDescent="0.2">
      <c r="A58" s="503"/>
      <c r="B58" s="518"/>
      <c r="C58" s="518"/>
      <c r="D58" s="519"/>
      <c r="E58" s="520"/>
      <c r="F58" s="519"/>
      <c r="G58" s="519"/>
      <c r="H58" s="391"/>
      <c r="I58" s="396"/>
      <c r="J58" s="398"/>
      <c r="K58" s="161">
        <f t="shared" si="1"/>
        <v>0</v>
      </c>
      <c r="L58" s="332">
        <f t="shared" si="2"/>
        <v>0</v>
      </c>
      <c r="M58" s="145">
        <f t="shared" si="3"/>
        <v>0</v>
      </c>
      <c r="N58" s="64">
        <f t="shared" si="4"/>
        <v>0</v>
      </c>
      <c r="O58" s="64">
        <f t="shared" si="5"/>
        <v>0</v>
      </c>
      <c r="P58" s="65">
        <f t="shared" si="6"/>
        <v>0</v>
      </c>
      <c r="Q58" s="221">
        <f t="shared" si="7"/>
        <v>0</v>
      </c>
      <c r="R58" s="110"/>
      <c r="S58" s="218">
        <f t="shared" si="8"/>
        <v>0</v>
      </c>
      <c r="T58" s="219">
        <f t="shared" si="9"/>
        <v>0</v>
      </c>
      <c r="U58" s="219">
        <f t="shared" si="10"/>
        <v>0</v>
      </c>
      <c r="V58" s="219">
        <f t="shared" si="11"/>
        <v>0</v>
      </c>
      <c r="W58" s="336">
        <f t="shared" si="12"/>
        <v>0</v>
      </c>
      <c r="X58" s="213"/>
      <c r="Y58" s="213"/>
      <c r="Z58" s="1"/>
      <c r="AB58" s="67">
        <f t="shared" si="13"/>
        <v>0</v>
      </c>
      <c r="AC58" s="68">
        <f t="shared" si="14"/>
        <v>0</v>
      </c>
      <c r="AD58" s="69">
        <f t="shared" si="15"/>
        <v>0</v>
      </c>
      <c r="AE58" s="68">
        <f t="shared" si="16"/>
        <v>0</v>
      </c>
    </row>
    <row r="59" spans="1:33" x14ac:dyDescent="0.2">
      <c r="A59" s="503"/>
      <c r="B59" s="518"/>
      <c r="C59" s="518"/>
      <c r="D59" s="519"/>
      <c r="E59" s="520"/>
      <c r="F59" s="519"/>
      <c r="G59" s="519"/>
      <c r="H59" s="391"/>
      <c r="I59" s="396"/>
      <c r="J59" s="398"/>
      <c r="K59" s="161">
        <f t="shared" si="1"/>
        <v>0</v>
      </c>
      <c r="L59" s="332">
        <f t="shared" si="2"/>
        <v>0</v>
      </c>
      <c r="M59" s="145">
        <f t="shared" si="3"/>
        <v>0</v>
      </c>
      <c r="N59" s="64">
        <f t="shared" si="4"/>
        <v>0</v>
      </c>
      <c r="O59" s="64">
        <f t="shared" si="5"/>
        <v>0</v>
      </c>
      <c r="P59" s="65">
        <f t="shared" si="6"/>
        <v>0</v>
      </c>
      <c r="Q59" s="221">
        <f t="shared" si="7"/>
        <v>0</v>
      </c>
      <c r="R59" s="110"/>
      <c r="S59" s="218">
        <f t="shared" si="8"/>
        <v>0</v>
      </c>
      <c r="T59" s="219">
        <f t="shared" si="9"/>
        <v>0</v>
      </c>
      <c r="U59" s="219">
        <f t="shared" si="10"/>
        <v>0</v>
      </c>
      <c r="V59" s="219">
        <f t="shared" si="11"/>
        <v>0</v>
      </c>
      <c r="W59" s="336">
        <f t="shared" si="12"/>
        <v>0</v>
      </c>
      <c r="X59" s="213"/>
      <c r="Y59" s="213"/>
      <c r="Z59" s="1"/>
      <c r="AB59" s="67">
        <f t="shared" si="13"/>
        <v>0</v>
      </c>
      <c r="AC59" s="68">
        <f t="shared" si="14"/>
        <v>0</v>
      </c>
      <c r="AD59" s="69">
        <f t="shared" si="15"/>
        <v>0</v>
      </c>
      <c r="AE59" s="68">
        <f t="shared" si="16"/>
        <v>0</v>
      </c>
    </row>
    <row r="60" spans="1:33" x14ac:dyDescent="0.2">
      <c r="A60" s="503"/>
      <c r="B60" s="518"/>
      <c r="C60" s="518"/>
      <c r="D60" s="519"/>
      <c r="E60" s="520"/>
      <c r="F60" s="519"/>
      <c r="G60" s="519"/>
      <c r="H60" s="391"/>
      <c r="I60" s="396"/>
      <c r="J60" s="398"/>
      <c r="K60" s="161">
        <f t="shared" si="1"/>
        <v>0</v>
      </c>
      <c r="L60" s="332">
        <f t="shared" si="2"/>
        <v>0</v>
      </c>
      <c r="M60" s="145">
        <f t="shared" si="3"/>
        <v>0</v>
      </c>
      <c r="N60" s="64">
        <f t="shared" si="4"/>
        <v>0</v>
      </c>
      <c r="O60" s="64">
        <f t="shared" si="5"/>
        <v>0</v>
      </c>
      <c r="P60" s="65">
        <f t="shared" si="6"/>
        <v>0</v>
      </c>
      <c r="Q60" s="221">
        <f t="shared" si="7"/>
        <v>0</v>
      </c>
      <c r="R60" s="110"/>
      <c r="S60" s="218">
        <f t="shared" si="8"/>
        <v>0</v>
      </c>
      <c r="T60" s="219">
        <f t="shared" si="9"/>
        <v>0</v>
      </c>
      <c r="U60" s="219">
        <f t="shared" si="10"/>
        <v>0</v>
      </c>
      <c r="V60" s="219">
        <f t="shared" si="11"/>
        <v>0</v>
      </c>
      <c r="W60" s="336">
        <f t="shared" si="12"/>
        <v>0</v>
      </c>
      <c r="X60" s="213"/>
      <c r="Y60" s="213"/>
      <c r="Z60" s="1"/>
      <c r="AB60" s="67">
        <f t="shared" si="13"/>
        <v>0</v>
      </c>
      <c r="AC60" s="68">
        <f t="shared" si="14"/>
        <v>0</v>
      </c>
      <c r="AD60" s="69">
        <f t="shared" si="15"/>
        <v>0</v>
      </c>
      <c r="AE60" s="68">
        <f t="shared" si="16"/>
        <v>0</v>
      </c>
      <c r="AG60" s="152"/>
    </row>
    <row r="61" spans="1:33" x14ac:dyDescent="0.2">
      <c r="A61" s="503"/>
      <c r="B61" s="518"/>
      <c r="C61" s="518"/>
      <c r="D61" s="519"/>
      <c r="E61" s="520"/>
      <c r="F61" s="519"/>
      <c r="G61" s="519"/>
      <c r="H61" s="391"/>
      <c r="I61" s="396"/>
      <c r="J61" s="398"/>
      <c r="K61" s="161">
        <f t="shared" ref="K61:K65" si="17">IF(ISERROR(IF(A61="",L61*(Annual_Salary/12),L61*(VLOOKUP(A61,SalaryLimits,2,FALSE))/12)),0,IF(A61="",L61*(Annual_Salary/12),L61*(VLOOKUP(A61,SalaryLimits,2,FALSE))/12))</f>
        <v>0</v>
      </c>
      <c r="L61" s="332">
        <f t="shared" ref="L61:L65" si="18">IF(ISERROR(ROUND(IF(AND(I61="",A61=""),J61/(Annual_Salary/12),IF(AND(I61="",A61&lt;&gt;""),J61/(VLOOKUP(A61,SalaryLimits,2,FALSE)/12),I61)),4)),0,ROUND(IF(AND(I61="",A61=""),J61/(Annual_Salary/12),IF(AND(I61="",A61&lt;&gt;""),J61/(VLOOKUP(A61,SalaryLimits,2,FALSE)/12),I61)),4))</f>
        <v>0</v>
      </c>
      <c r="M61" s="145">
        <f t="shared" ref="M61:M65" si="19">IF(ISERROR(IF(L61&lt;M102,L61,M102)),0,IF(L61&lt;M102,L61,M102))</f>
        <v>0</v>
      </c>
      <c r="N61" s="64">
        <f t="shared" ref="N61:P61" si="20">IF(ISERROR(IF(AB61&lt;N102,AB61,N102)),0,IF(AB61&lt;N102,AB61,N102))</f>
        <v>0</v>
      </c>
      <c r="O61" s="64">
        <f t="shared" si="20"/>
        <v>0</v>
      </c>
      <c r="P61" s="65">
        <f t="shared" si="20"/>
        <v>0</v>
      </c>
      <c r="Q61" s="221">
        <f t="shared" ref="Q61:Q65" si="21">SUM(M61:P61)</f>
        <v>0</v>
      </c>
      <c r="R61" s="110"/>
      <c r="S61" s="218">
        <f t="shared" si="8"/>
        <v>0</v>
      </c>
      <c r="T61" s="219">
        <f t="shared" si="9"/>
        <v>0</v>
      </c>
      <c r="U61" s="219">
        <f t="shared" si="10"/>
        <v>0</v>
      </c>
      <c r="V61" s="219">
        <f t="shared" si="11"/>
        <v>0</v>
      </c>
      <c r="W61" s="336">
        <f t="shared" ref="W61:W65" si="22">SUM(S61:V61)</f>
        <v>0</v>
      </c>
      <c r="X61" s="213"/>
      <c r="Y61" s="213"/>
      <c r="Z61" s="583"/>
      <c r="AB61" s="67">
        <f t="shared" ref="AB61:AB65" si="23">L61-M61</f>
        <v>0</v>
      </c>
      <c r="AC61" s="68">
        <f t="shared" ref="AC61:AC65" si="24">L61-M61-N61</f>
        <v>0</v>
      </c>
      <c r="AD61" s="69">
        <f t="shared" ref="AD61:AD65" si="25">L61-M61-N61-O61</f>
        <v>0</v>
      </c>
      <c r="AE61" s="68">
        <f t="shared" ref="AE61:AE65" si="26">L61-M61-N61-O61-P61</f>
        <v>0</v>
      </c>
      <c r="AG61" s="152"/>
    </row>
    <row r="62" spans="1:33" x14ac:dyDescent="0.2">
      <c r="A62" s="503"/>
      <c r="B62" s="518"/>
      <c r="C62" s="518"/>
      <c r="D62" s="519"/>
      <c r="E62" s="520"/>
      <c r="F62" s="519"/>
      <c r="G62" s="519"/>
      <c r="H62" s="391"/>
      <c r="I62" s="396"/>
      <c r="J62" s="398"/>
      <c r="K62" s="161">
        <f t="shared" si="17"/>
        <v>0</v>
      </c>
      <c r="L62" s="332">
        <f t="shared" si="18"/>
        <v>0</v>
      </c>
      <c r="M62" s="145">
        <f t="shared" si="19"/>
        <v>0</v>
      </c>
      <c r="N62" s="64">
        <f t="shared" ref="N62:P62" si="27">IF(ISERROR(IF(AB62&lt;N103,AB62,N103)),0,IF(AB62&lt;N103,AB62,N103))</f>
        <v>0</v>
      </c>
      <c r="O62" s="64">
        <f t="shared" si="27"/>
        <v>0</v>
      </c>
      <c r="P62" s="65">
        <f t="shared" si="27"/>
        <v>0</v>
      </c>
      <c r="Q62" s="221">
        <f t="shared" si="21"/>
        <v>0</v>
      </c>
      <c r="R62" s="110"/>
      <c r="S62" s="218">
        <f t="shared" si="8"/>
        <v>0</v>
      </c>
      <c r="T62" s="219">
        <f t="shared" si="9"/>
        <v>0</v>
      </c>
      <c r="U62" s="219">
        <f t="shared" si="10"/>
        <v>0</v>
      </c>
      <c r="V62" s="219">
        <f t="shared" si="11"/>
        <v>0</v>
      </c>
      <c r="W62" s="336">
        <f t="shared" si="22"/>
        <v>0</v>
      </c>
      <c r="X62" s="213"/>
      <c r="Y62" s="213"/>
      <c r="Z62" s="583"/>
      <c r="AB62" s="67">
        <f t="shared" si="23"/>
        <v>0</v>
      </c>
      <c r="AC62" s="68">
        <f t="shared" si="24"/>
        <v>0</v>
      </c>
      <c r="AD62" s="69">
        <f t="shared" si="25"/>
        <v>0</v>
      </c>
      <c r="AE62" s="68">
        <f t="shared" si="26"/>
        <v>0</v>
      </c>
      <c r="AG62" s="152"/>
    </row>
    <row r="63" spans="1:33" x14ac:dyDescent="0.2">
      <c r="A63" s="503"/>
      <c r="B63" s="518"/>
      <c r="C63" s="518"/>
      <c r="D63" s="519"/>
      <c r="E63" s="520"/>
      <c r="F63" s="519"/>
      <c r="G63" s="519"/>
      <c r="H63" s="391"/>
      <c r="I63" s="396"/>
      <c r="J63" s="398"/>
      <c r="K63" s="161">
        <f t="shared" si="17"/>
        <v>0</v>
      </c>
      <c r="L63" s="332">
        <f t="shared" si="18"/>
        <v>0</v>
      </c>
      <c r="M63" s="145">
        <f t="shared" si="19"/>
        <v>0</v>
      </c>
      <c r="N63" s="64">
        <f t="shared" ref="N63:P63" si="28">IF(ISERROR(IF(AB63&lt;N104,AB63,N104)),0,IF(AB63&lt;N104,AB63,N104))</f>
        <v>0</v>
      </c>
      <c r="O63" s="64">
        <f t="shared" si="28"/>
        <v>0</v>
      </c>
      <c r="P63" s="65">
        <f t="shared" si="28"/>
        <v>0</v>
      </c>
      <c r="Q63" s="221">
        <f t="shared" si="21"/>
        <v>0</v>
      </c>
      <c r="R63" s="110"/>
      <c r="S63" s="218">
        <f t="shared" si="8"/>
        <v>0</v>
      </c>
      <c r="T63" s="219">
        <f t="shared" si="9"/>
        <v>0</v>
      </c>
      <c r="U63" s="219">
        <f t="shared" si="10"/>
        <v>0</v>
      </c>
      <c r="V63" s="219">
        <f t="shared" si="11"/>
        <v>0</v>
      </c>
      <c r="W63" s="336">
        <f t="shared" si="22"/>
        <v>0</v>
      </c>
      <c r="X63" s="213"/>
      <c r="Y63" s="213"/>
      <c r="Z63" s="583"/>
      <c r="AB63" s="67">
        <f t="shared" si="23"/>
        <v>0</v>
      </c>
      <c r="AC63" s="68">
        <f t="shared" si="24"/>
        <v>0</v>
      </c>
      <c r="AD63" s="69">
        <f t="shared" si="25"/>
        <v>0</v>
      </c>
      <c r="AE63" s="68">
        <f t="shared" si="26"/>
        <v>0</v>
      </c>
      <c r="AG63" s="152"/>
    </row>
    <row r="64" spans="1:33" x14ac:dyDescent="0.2">
      <c r="A64" s="503"/>
      <c r="B64" s="518"/>
      <c r="C64" s="518"/>
      <c r="D64" s="519"/>
      <c r="E64" s="520"/>
      <c r="F64" s="519"/>
      <c r="G64" s="519"/>
      <c r="H64" s="391"/>
      <c r="I64" s="396"/>
      <c r="J64" s="398"/>
      <c r="K64" s="161">
        <f t="shared" si="17"/>
        <v>0</v>
      </c>
      <c r="L64" s="332">
        <f t="shared" si="18"/>
        <v>0</v>
      </c>
      <c r="M64" s="145">
        <f t="shared" si="19"/>
        <v>0</v>
      </c>
      <c r="N64" s="64">
        <f t="shared" ref="N64:P64" si="29">IF(ISERROR(IF(AB64&lt;N105,AB64,N105)),0,IF(AB64&lt;N105,AB64,N105))</f>
        <v>0</v>
      </c>
      <c r="O64" s="64">
        <f t="shared" si="29"/>
        <v>0</v>
      </c>
      <c r="P64" s="65">
        <f t="shared" si="29"/>
        <v>0</v>
      </c>
      <c r="Q64" s="221">
        <f t="shared" si="21"/>
        <v>0</v>
      </c>
      <c r="R64" s="110"/>
      <c r="S64" s="218">
        <f t="shared" si="8"/>
        <v>0</v>
      </c>
      <c r="T64" s="219">
        <f t="shared" si="9"/>
        <v>0</v>
      </c>
      <c r="U64" s="219">
        <f t="shared" si="10"/>
        <v>0</v>
      </c>
      <c r="V64" s="219">
        <f t="shared" si="11"/>
        <v>0</v>
      </c>
      <c r="W64" s="336">
        <f t="shared" si="22"/>
        <v>0</v>
      </c>
      <c r="X64" s="213"/>
      <c r="Y64" s="213"/>
      <c r="Z64" s="583"/>
      <c r="AB64" s="67">
        <f t="shared" si="23"/>
        <v>0</v>
      </c>
      <c r="AC64" s="68">
        <f t="shared" si="24"/>
        <v>0</v>
      </c>
      <c r="AD64" s="69">
        <f t="shared" si="25"/>
        <v>0</v>
      </c>
      <c r="AE64" s="68">
        <f t="shared" si="26"/>
        <v>0</v>
      </c>
      <c r="AG64" s="152"/>
    </row>
    <row r="65" spans="1:38" x14ac:dyDescent="0.2">
      <c r="A65" s="503"/>
      <c r="B65" s="518"/>
      <c r="C65" s="518"/>
      <c r="D65" s="519"/>
      <c r="E65" s="520"/>
      <c r="F65" s="519"/>
      <c r="G65" s="519"/>
      <c r="H65" s="391"/>
      <c r="I65" s="396"/>
      <c r="J65" s="398"/>
      <c r="K65" s="161">
        <f t="shared" si="17"/>
        <v>0</v>
      </c>
      <c r="L65" s="332">
        <f t="shared" si="18"/>
        <v>0</v>
      </c>
      <c r="M65" s="145">
        <f t="shared" si="19"/>
        <v>0</v>
      </c>
      <c r="N65" s="64">
        <f t="shared" ref="N65:P65" si="30">IF(ISERROR(IF(AB65&lt;N106,AB65,N106)),0,IF(AB65&lt;N106,AB65,N106))</f>
        <v>0</v>
      </c>
      <c r="O65" s="64">
        <f t="shared" si="30"/>
        <v>0</v>
      </c>
      <c r="P65" s="65">
        <f t="shared" si="30"/>
        <v>0</v>
      </c>
      <c r="Q65" s="221">
        <f t="shared" si="21"/>
        <v>0</v>
      </c>
      <c r="R65" s="110"/>
      <c r="S65" s="218">
        <f t="shared" si="8"/>
        <v>0</v>
      </c>
      <c r="T65" s="219">
        <f t="shared" si="9"/>
        <v>0</v>
      </c>
      <c r="U65" s="219">
        <f t="shared" si="10"/>
        <v>0</v>
      </c>
      <c r="V65" s="219">
        <f t="shared" si="11"/>
        <v>0</v>
      </c>
      <c r="W65" s="336">
        <f t="shared" si="22"/>
        <v>0</v>
      </c>
      <c r="X65" s="213"/>
      <c r="Y65" s="213"/>
      <c r="Z65" s="583"/>
      <c r="AB65" s="67">
        <f t="shared" si="23"/>
        <v>0</v>
      </c>
      <c r="AC65" s="68">
        <f t="shared" si="24"/>
        <v>0</v>
      </c>
      <c r="AD65" s="69">
        <f t="shared" si="25"/>
        <v>0</v>
      </c>
      <c r="AE65" s="68">
        <f t="shared" si="26"/>
        <v>0</v>
      </c>
      <c r="AG65" s="152"/>
    </row>
    <row r="66" spans="1:38" ht="12.95" customHeight="1" x14ac:dyDescent="0.2">
      <c r="A66" s="503"/>
      <c r="B66" s="518"/>
      <c r="C66" s="518"/>
      <c r="D66" s="519"/>
      <c r="E66" s="520"/>
      <c r="F66" s="519"/>
      <c r="G66" s="519"/>
      <c r="H66" s="391"/>
      <c r="I66" s="396"/>
      <c r="J66" s="398"/>
      <c r="K66" s="161">
        <f t="shared" si="1"/>
        <v>0</v>
      </c>
      <c r="L66" s="332">
        <f t="shared" si="2"/>
        <v>0</v>
      </c>
      <c r="M66" s="145">
        <f t="shared" ref="M66:M67" si="31">IF(ISERROR(IF(L66&lt;M102,L66,M102)),0,IF(L66&lt;M102,L66,M102))</f>
        <v>0</v>
      </c>
      <c r="N66" s="64">
        <f t="shared" ref="N66:P67" si="32">IF(ISERROR(IF(AB66&lt;N102,AB66,N102)),0,IF(AB66&lt;N102,AB66,N102))</f>
        <v>0</v>
      </c>
      <c r="O66" s="64">
        <f t="shared" si="32"/>
        <v>0</v>
      </c>
      <c r="P66" s="65">
        <f t="shared" si="32"/>
        <v>0</v>
      </c>
      <c r="Q66" s="221">
        <f t="shared" si="7"/>
        <v>0</v>
      </c>
      <c r="R66" s="110"/>
      <c r="S66" s="218">
        <f t="shared" si="8"/>
        <v>0</v>
      </c>
      <c r="T66" s="219">
        <f t="shared" si="9"/>
        <v>0</v>
      </c>
      <c r="U66" s="219">
        <f t="shared" si="10"/>
        <v>0</v>
      </c>
      <c r="V66" s="219">
        <f t="shared" si="11"/>
        <v>0</v>
      </c>
      <c r="W66" s="336">
        <f t="shared" si="12"/>
        <v>0</v>
      </c>
      <c r="X66" s="213"/>
      <c r="Y66" s="213"/>
      <c r="Z66" s="1"/>
      <c r="AB66" s="67">
        <f t="shared" si="13"/>
        <v>0</v>
      </c>
      <c r="AC66" s="68">
        <f t="shared" si="14"/>
        <v>0</v>
      </c>
      <c r="AD66" s="69">
        <f t="shared" si="15"/>
        <v>0</v>
      </c>
      <c r="AE66" s="68">
        <f t="shared" si="16"/>
        <v>0</v>
      </c>
      <c r="AG66" s="152"/>
    </row>
    <row r="67" spans="1:38" ht="13.5" thickBot="1" x14ac:dyDescent="0.25">
      <c r="A67" s="523"/>
      <c r="B67" s="556"/>
      <c r="C67" s="556"/>
      <c r="D67" s="525"/>
      <c r="E67" s="524"/>
      <c r="F67" s="525"/>
      <c r="G67" s="525"/>
      <c r="H67" s="526"/>
      <c r="I67" s="527"/>
      <c r="J67" s="528"/>
      <c r="K67" s="529">
        <f t="shared" si="1"/>
        <v>0</v>
      </c>
      <c r="L67" s="530">
        <f t="shared" si="2"/>
        <v>0</v>
      </c>
      <c r="M67" s="531">
        <f t="shared" si="31"/>
        <v>0</v>
      </c>
      <c r="N67" s="112">
        <f t="shared" si="32"/>
        <v>0</v>
      </c>
      <c r="O67" s="112">
        <f t="shared" si="32"/>
        <v>0</v>
      </c>
      <c r="P67" s="532">
        <f t="shared" si="32"/>
        <v>0</v>
      </c>
      <c r="Q67" s="533">
        <f t="shared" si="7"/>
        <v>0</v>
      </c>
      <c r="R67" s="110"/>
      <c r="S67" s="567">
        <f t="shared" si="8"/>
        <v>0</v>
      </c>
      <c r="T67" s="568">
        <f t="shared" si="9"/>
        <v>0</v>
      </c>
      <c r="U67" s="568">
        <f t="shared" si="10"/>
        <v>0</v>
      </c>
      <c r="V67" s="568">
        <f t="shared" si="11"/>
        <v>0</v>
      </c>
      <c r="W67" s="565">
        <f t="shared" si="12"/>
        <v>0</v>
      </c>
      <c r="X67" s="213"/>
      <c r="Y67" s="213"/>
      <c r="Z67" s="1"/>
      <c r="AB67" s="67">
        <f t="shared" si="13"/>
        <v>0</v>
      </c>
      <c r="AC67" s="68">
        <f t="shared" si="14"/>
        <v>0</v>
      </c>
      <c r="AD67" s="69">
        <f t="shared" si="15"/>
        <v>0</v>
      </c>
      <c r="AE67" s="68">
        <f t="shared" si="16"/>
        <v>0</v>
      </c>
    </row>
    <row r="68" spans="1:38" ht="13.5" thickBot="1" x14ac:dyDescent="0.25">
      <c r="A68" s="534"/>
      <c r="B68" s="535"/>
      <c r="C68" s="535"/>
      <c r="D68" s="536"/>
      <c r="E68" s="537" t="s">
        <v>12</v>
      </c>
      <c r="F68" s="538"/>
      <c r="G68" s="538"/>
      <c r="H68" s="539"/>
      <c r="I68" s="540"/>
      <c r="J68" s="541"/>
      <c r="K68" s="542">
        <f t="shared" ref="K68:Q68" si="33">SUM(K43:K67)</f>
        <v>0</v>
      </c>
      <c r="L68" s="543">
        <f t="shared" si="33"/>
        <v>0</v>
      </c>
      <c r="M68" s="544">
        <f t="shared" si="33"/>
        <v>0</v>
      </c>
      <c r="N68" s="545">
        <f t="shared" si="33"/>
        <v>0</v>
      </c>
      <c r="O68" s="545">
        <f t="shared" si="33"/>
        <v>0</v>
      </c>
      <c r="P68" s="543">
        <f t="shared" si="33"/>
        <v>0</v>
      </c>
      <c r="Q68" s="333">
        <f t="shared" si="33"/>
        <v>0</v>
      </c>
      <c r="R68" s="110"/>
      <c r="S68" s="598">
        <f>ROUND(SUM(S43:S67),2)</f>
        <v>0</v>
      </c>
      <c r="T68" s="599">
        <f>ROUND(SUM(T43:T67),2)</f>
        <v>0</v>
      </c>
      <c r="U68" s="599">
        <f>ROUND(SUM(U43:U67),2)</f>
        <v>0</v>
      </c>
      <c r="V68" s="600">
        <f>ROUND(SUM(V43:V67),2)</f>
        <v>0</v>
      </c>
      <c r="W68" s="601">
        <f>SUM(W43:W67)</f>
        <v>0</v>
      </c>
      <c r="X68" s="214"/>
      <c r="Y68" s="214"/>
      <c r="AB68" s="68">
        <f>SUM(AB43:AB67)</f>
        <v>0</v>
      </c>
      <c r="AC68" s="68">
        <f>SUM(AC43:AC67)</f>
        <v>0</v>
      </c>
      <c r="AD68" s="68">
        <f>SUM(AD43:AD67)</f>
        <v>0</v>
      </c>
      <c r="AE68" s="68">
        <f>SUM(AE43:AE67)</f>
        <v>0</v>
      </c>
      <c r="AG68" s="152"/>
    </row>
    <row r="69" spans="1:38" x14ac:dyDescent="0.2">
      <c r="A69" s="253" t="s">
        <v>80</v>
      </c>
      <c r="B69" s="499"/>
      <c r="C69" s="499"/>
      <c r="D69" s="499"/>
      <c r="E69" s="320"/>
      <c r="F69" s="320"/>
      <c r="G69" s="320"/>
      <c r="H69" s="320"/>
      <c r="I69" s="320"/>
      <c r="J69" s="320"/>
      <c r="K69" s="320"/>
      <c r="L69" s="320"/>
      <c r="M69" s="320"/>
      <c r="N69" s="320"/>
      <c r="O69" s="320"/>
      <c r="P69" s="320"/>
      <c r="Q69" s="320"/>
      <c r="R69" s="320"/>
      <c r="S69" s="214"/>
      <c r="T69" s="214"/>
      <c r="U69" s="214"/>
      <c r="V69" s="214"/>
      <c r="W69" s="214"/>
      <c r="X69" s="214"/>
      <c r="Y69" s="214"/>
      <c r="Z69" s="214"/>
      <c r="AA69" s="214"/>
      <c r="AB69" s="214"/>
      <c r="AC69" s="214"/>
      <c r="AD69" s="214"/>
      <c r="AG69" s="134"/>
      <c r="AH69" s="134"/>
      <c r="AI69" s="134"/>
      <c r="AJ69" s="134"/>
      <c r="AL69" s="152"/>
    </row>
    <row r="70" spans="1:38" x14ac:dyDescent="0.2">
      <c r="A70" s="52" t="s">
        <v>72</v>
      </c>
      <c r="B70" s="52"/>
      <c r="C70" s="52"/>
      <c r="D70" s="52"/>
      <c r="E70" s="321"/>
      <c r="F70" s="322"/>
      <c r="G70" s="322"/>
      <c r="H70" s="323"/>
      <c r="I70" s="323"/>
      <c r="J70" s="323"/>
      <c r="K70" s="324"/>
      <c r="L70" s="325"/>
      <c r="M70" s="325"/>
      <c r="N70" s="325"/>
      <c r="O70" s="325"/>
      <c r="P70" s="325"/>
      <c r="Q70" s="325"/>
      <c r="R70" s="133"/>
      <c r="S70" s="231"/>
      <c r="T70" s="231"/>
      <c r="U70" s="231"/>
      <c r="V70" s="231"/>
      <c r="W70" s="231"/>
      <c r="X70" s="231"/>
      <c r="Y70" s="214"/>
      <c r="Z70" s="318"/>
      <c r="AA70" s="318"/>
      <c r="AB70" s="214"/>
      <c r="AC70" s="214"/>
      <c r="AD70" s="214"/>
      <c r="AG70" s="134"/>
      <c r="AH70" s="134"/>
      <c r="AI70" s="134"/>
      <c r="AJ70" s="134"/>
      <c r="AL70" s="152"/>
    </row>
    <row r="71" spans="1:38" x14ac:dyDescent="0.2">
      <c r="A71" s="650"/>
      <c r="B71" s="651"/>
      <c r="C71" s="651"/>
      <c r="D71" s="651"/>
      <c r="E71" s="651"/>
      <c r="F71" s="651"/>
      <c r="G71" s="651"/>
      <c r="H71" s="651"/>
      <c r="I71" s="651"/>
      <c r="J71" s="651"/>
      <c r="K71" s="651"/>
      <c r="L71" s="651"/>
      <c r="M71" s="651"/>
      <c r="N71" s="651"/>
      <c r="O71" s="651"/>
      <c r="P71" s="651"/>
      <c r="Q71" s="652"/>
      <c r="R71" s="133"/>
      <c r="S71" s="214" t="s">
        <v>104</v>
      </c>
      <c r="T71" s="641"/>
      <c r="U71" s="642"/>
      <c r="V71" s="643"/>
      <c r="W71" s="231"/>
      <c r="X71" s="231"/>
      <c r="Y71" s="273"/>
      <c r="AC71" s="214"/>
      <c r="AD71" s="214"/>
      <c r="AG71" s="134"/>
      <c r="AH71" s="134"/>
      <c r="AI71" s="134"/>
      <c r="AJ71" s="134"/>
      <c r="AL71" s="152"/>
    </row>
    <row r="72" spans="1:38" x14ac:dyDescent="0.2">
      <c r="A72" s="653"/>
      <c r="B72" s="654"/>
      <c r="C72" s="654"/>
      <c r="D72" s="654"/>
      <c r="E72" s="698"/>
      <c r="F72" s="698"/>
      <c r="G72" s="698"/>
      <c r="H72" s="698"/>
      <c r="I72" s="698"/>
      <c r="J72" s="698"/>
      <c r="K72" s="698"/>
      <c r="L72" s="698"/>
      <c r="M72" s="698"/>
      <c r="N72" s="698"/>
      <c r="O72" s="698"/>
      <c r="P72" s="698"/>
      <c r="Q72" s="655"/>
      <c r="R72" s="133"/>
      <c r="S72" s="273"/>
      <c r="T72" s="644"/>
      <c r="U72" s="645"/>
      <c r="V72" s="646"/>
      <c r="W72" s="317"/>
      <c r="X72" s="317"/>
      <c r="Y72" s="273"/>
      <c r="AC72" s="214"/>
      <c r="AD72" s="214"/>
      <c r="AG72" s="134"/>
      <c r="AH72" s="134"/>
      <c r="AI72" s="134"/>
      <c r="AJ72" s="134"/>
      <c r="AL72" s="152"/>
    </row>
    <row r="73" spans="1:38" x14ac:dyDescent="0.2">
      <c r="A73" s="656"/>
      <c r="B73" s="657"/>
      <c r="C73" s="657"/>
      <c r="D73" s="657"/>
      <c r="E73" s="657"/>
      <c r="F73" s="657"/>
      <c r="G73" s="657"/>
      <c r="H73" s="657"/>
      <c r="I73" s="657"/>
      <c r="J73" s="657"/>
      <c r="K73" s="657"/>
      <c r="L73" s="657"/>
      <c r="M73" s="657"/>
      <c r="N73" s="657"/>
      <c r="O73" s="657"/>
      <c r="P73" s="657"/>
      <c r="Q73" s="658"/>
      <c r="R73" s="133"/>
      <c r="S73" s="273" t="s">
        <v>103</v>
      </c>
      <c r="T73" s="647"/>
      <c r="U73" s="648"/>
      <c r="V73" s="649"/>
      <c r="W73" s="317"/>
      <c r="X73" s="317"/>
      <c r="Y73" s="273"/>
      <c r="AC73" s="214"/>
      <c r="AD73" s="214"/>
      <c r="AG73" s="134"/>
      <c r="AH73" s="134"/>
      <c r="AI73" s="134"/>
      <c r="AJ73" s="134"/>
      <c r="AL73" s="152"/>
    </row>
    <row r="74" spans="1:38" x14ac:dyDescent="0.2">
      <c r="A74" s="30"/>
      <c r="B74" s="30"/>
      <c r="C74" s="30"/>
      <c r="D74" s="30"/>
      <c r="E74" s="52"/>
      <c r="F74" s="52"/>
      <c r="G74" s="52"/>
      <c r="H74" s="52"/>
      <c r="I74" s="52"/>
      <c r="J74" s="52"/>
      <c r="K74" s="215"/>
      <c r="L74" s="133"/>
      <c r="M74" s="133"/>
      <c r="N74" s="133"/>
      <c r="O74" s="133"/>
      <c r="P74" s="133"/>
      <c r="Q74" s="133"/>
      <c r="R74" s="133"/>
      <c r="S74" s="214"/>
      <c r="T74" s="522"/>
      <c r="U74" s="214"/>
      <c r="V74" s="214"/>
      <c r="W74" s="214"/>
      <c r="X74" s="214"/>
      <c r="Y74" s="214"/>
      <c r="AC74" s="214"/>
      <c r="AD74" s="214"/>
      <c r="AG74" s="134"/>
      <c r="AH74" s="134"/>
      <c r="AI74" s="134"/>
      <c r="AJ74" s="134"/>
    </row>
    <row r="75" spans="1:38" hidden="1" x14ac:dyDescent="0.2">
      <c r="A75" s="30"/>
      <c r="B75" s="30"/>
      <c r="C75" s="30"/>
      <c r="D75" s="30"/>
      <c r="E75" s="52"/>
      <c r="F75" s="52"/>
      <c r="G75" s="52"/>
      <c r="H75" s="52"/>
      <c r="I75" s="52"/>
      <c r="J75" s="52"/>
      <c r="K75" s="215"/>
      <c r="L75" s="133"/>
      <c r="M75" s="133"/>
      <c r="N75" s="133"/>
      <c r="O75" s="133"/>
      <c r="P75" s="133"/>
      <c r="Q75" s="133"/>
      <c r="R75" s="133"/>
      <c r="S75" s="214"/>
      <c r="T75" s="214"/>
      <c r="U75" s="214"/>
      <c r="V75" s="214"/>
      <c r="W75" s="214"/>
      <c r="X75" s="214"/>
      <c r="Y75" s="214"/>
      <c r="Z75" s="214"/>
      <c r="AA75" s="214"/>
      <c r="AB75" s="214"/>
      <c r="AC75" s="214"/>
      <c r="AD75" s="214"/>
      <c r="AG75" s="216"/>
      <c r="AH75" s="216"/>
      <c r="AI75" s="216"/>
      <c r="AJ75" s="216"/>
    </row>
    <row r="76" spans="1:38" hidden="1" x14ac:dyDescent="0.2">
      <c r="A76" s="30"/>
      <c r="B76" s="30"/>
      <c r="C76" s="30"/>
      <c r="D76" s="30"/>
      <c r="E76" s="52"/>
      <c r="F76" s="52"/>
      <c r="G76" s="52"/>
      <c r="H76" s="52"/>
      <c r="I76" s="52"/>
      <c r="J76" s="52"/>
      <c r="K76" s="215"/>
      <c r="L76" s="133"/>
      <c r="M76" s="133"/>
      <c r="N76" s="133"/>
      <c r="O76" s="133"/>
      <c r="P76" s="133"/>
      <c r="Q76" s="133"/>
      <c r="R76" s="133"/>
      <c r="S76" s="214"/>
      <c r="T76" s="214"/>
      <c r="U76" s="214"/>
      <c r="V76" s="214"/>
      <c r="W76" s="214"/>
      <c r="X76" s="214"/>
      <c r="Y76" s="214"/>
      <c r="Z76" s="214"/>
      <c r="AA76" s="214"/>
      <c r="AB76" s="214"/>
      <c r="AC76" s="214"/>
      <c r="AD76" s="214"/>
      <c r="AG76" s="216"/>
      <c r="AH76" s="216"/>
      <c r="AI76" s="216"/>
      <c r="AJ76" s="216"/>
    </row>
    <row r="77" spans="1:38" hidden="1" x14ac:dyDescent="0.2">
      <c r="A77" s="30"/>
      <c r="B77" s="30"/>
      <c r="C77" s="30"/>
      <c r="D77" s="30"/>
      <c r="E77" s="52"/>
      <c r="F77" s="52"/>
      <c r="G77" s="52"/>
      <c r="H77" s="52"/>
      <c r="I77" s="52"/>
      <c r="J77" s="52"/>
      <c r="K77" s="215"/>
      <c r="L77" s="133"/>
      <c r="M77" s="133"/>
      <c r="N77" s="133"/>
      <c r="O77" s="133"/>
      <c r="P77" s="133"/>
      <c r="Q77" s="133"/>
      <c r="R77" s="133"/>
      <c r="S77" s="214"/>
      <c r="T77" s="214"/>
      <c r="U77" s="214"/>
      <c r="V77" s="214"/>
      <c r="W77" s="214"/>
      <c r="X77" s="214"/>
      <c r="Y77" s="214"/>
      <c r="Z77" s="214"/>
      <c r="AA77" s="214"/>
      <c r="AB77" s="214"/>
      <c r="AC77" s="214"/>
      <c r="AD77" s="214"/>
      <c r="AG77" s="216"/>
      <c r="AH77" s="216"/>
      <c r="AI77" s="216"/>
      <c r="AJ77" s="216"/>
    </row>
    <row r="78" spans="1:38" hidden="1" x14ac:dyDescent="0.2">
      <c r="A78" s="30"/>
      <c r="B78" s="30"/>
      <c r="C78" s="30"/>
      <c r="D78" s="30"/>
      <c r="E78" s="52"/>
      <c r="F78" s="52"/>
      <c r="G78" s="52"/>
      <c r="H78" s="52"/>
      <c r="I78" s="52"/>
      <c r="J78" s="52"/>
      <c r="K78" s="215"/>
      <c r="L78" s="133"/>
      <c r="M78" s="133"/>
      <c r="N78" s="133"/>
      <c r="O78" s="133"/>
      <c r="P78" s="133"/>
      <c r="Q78" s="133"/>
      <c r="R78" s="133"/>
      <c r="S78" s="214"/>
      <c r="T78" s="214"/>
      <c r="U78" s="214"/>
      <c r="V78" s="214"/>
      <c r="W78" s="214"/>
      <c r="X78" s="214"/>
      <c r="Y78" s="214"/>
      <c r="Z78" s="214"/>
      <c r="AA78" s="214"/>
      <c r="AB78" s="214"/>
      <c r="AC78" s="214"/>
      <c r="AD78" s="214"/>
      <c r="AG78" s="216"/>
      <c r="AH78" s="216"/>
      <c r="AI78" s="216"/>
      <c r="AJ78" s="216"/>
    </row>
    <row r="79" spans="1:38" hidden="1" x14ac:dyDescent="0.2">
      <c r="A79" s="30"/>
      <c r="B79" s="30"/>
      <c r="C79" s="30"/>
      <c r="D79" s="30"/>
      <c r="E79" s="52"/>
      <c r="F79" s="52"/>
      <c r="G79" s="52"/>
      <c r="H79" s="52"/>
      <c r="I79" s="52"/>
      <c r="J79" s="52"/>
      <c r="K79" s="215"/>
      <c r="L79" s="133"/>
      <c r="M79" s="133"/>
      <c r="N79" s="133"/>
      <c r="O79" s="133"/>
      <c r="P79" s="133"/>
      <c r="Q79" s="133"/>
      <c r="R79" s="133"/>
      <c r="S79" s="214"/>
      <c r="T79" s="214"/>
      <c r="U79" s="214"/>
      <c r="V79" s="214"/>
      <c r="W79" s="214"/>
      <c r="X79" s="214"/>
      <c r="Y79" s="214"/>
      <c r="Z79" s="214"/>
      <c r="AA79" s="214"/>
      <c r="AB79" s="214"/>
      <c r="AC79" s="214"/>
      <c r="AD79" s="214"/>
      <c r="AG79" s="216"/>
      <c r="AH79" s="216"/>
      <c r="AI79" s="216"/>
      <c r="AJ79" s="216"/>
    </row>
    <row r="80" spans="1:38" hidden="1" x14ac:dyDescent="0.2">
      <c r="A80" s="30"/>
      <c r="B80" s="30"/>
      <c r="C80" s="30"/>
      <c r="D80" s="30"/>
      <c r="E80" s="52"/>
      <c r="F80" s="52"/>
      <c r="G80" s="52"/>
      <c r="H80" s="52"/>
      <c r="I80" s="52"/>
      <c r="J80" s="52"/>
      <c r="K80" s="215"/>
      <c r="L80" s="133"/>
      <c r="M80" s="133"/>
      <c r="N80" s="133"/>
      <c r="O80" s="133"/>
      <c r="P80" s="133"/>
      <c r="Q80" s="133"/>
      <c r="R80" s="133"/>
      <c r="S80" s="214"/>
      <c r="T80" s="214"/>
      <c r="U80" s="214"/>
      <c r="V80" s="214"/>
      <c r="W80" s="214"/>
      <c r="X80" s="214"/>
      <c r="Y80" s="214"/>
      <c r="Z80" s="214"/>
      <c r="AA80" s="214"/>
      <c r="AB80" s="214"/>
      <c r="AC80" s="214"/>
      <c r="AD80" s="214"/>
      <c r="AG80" s="216"/>
      <c r="AH80" s="216"/>
      <c r="AI80" s="216"/>
      <c r="AJ80" s="216"/>
    </row>
    <row r="81" spans="1:42" hidden="1" x14ac:dyDescent="0.2">
      <c r="A81" s="30"/>
      <c r="B81" s="30"/>
      <c r="C81" s="30"/>
      <c r="D81" s="30"/>
      <c r="E81" s="52"/>
      <c r="F81" s="52"/>
      <c r="G81" s="52"/>
      <c r="H81" s="52"/>
      <c r="I81" s="52"/>
      <c r="J81" s="52"/>
      <c r="K81" s="215"/>
      <c r="L81" s="133"/>
      <c r="M81" s="133"/>
      <c r="N81" s="133"/>
      <c r="O81" s="133"/>
      <c r="P81" s="133"/>
      <c r="Q81" s="133"/>
      <c r="R81" s="133"/>
      <c r="S81" s="214"/>
      <c r="T81" s="214"/>
      <c r="U81" s="214"/>
      <c r="V81" s="214"/>
      <c r="W81" s="214"/>
      <c r="X81" s="214"/>
      <c r="Y81" s="214"/>
      <c r="Z81" s="214"/>
      <c r="AA81" s="214"/>
      <c r="AB81" s="214"/>
      <c r="AC81" s="214"/>
      <c r="AD81" s="214"/>
      <c r="AG81" s="216"/>
      <c r="AH81" s="216"/>
      <c r="AI81" s="216"/>
      <c r="AJ81" s="216"/>
    </row>
    <row r="82" spans="1:42" hidden="1" x14ac:dyDescent="0.2">
      <c r="A82" s="30"/>
      <c r="B82" s="30"/>
      <c r="C82" s="30"/>
      <c r="D82" s="30"/>
      <c r="E82" s="52"/>
      <c r="F82" s="52"/>
      <c r="G82" s="52"/>
      <c r="H82" s="52"/>
      <c r="I82" s="52"/>
      <c r="J82" s="52"/>
      <c r="K82" s="215"/>
      <c r="L82" s="133"/>
      <c r="M82" s="133"/>
      <c r="N82" s="133"/>
      <c r="O82" s="133"/>
      <c r="P82" s="133"/>
      <c r="Q82" s="133"/>
      <c r="R82" s="133"/>
      <c r="S82" s="214"/>
      <c r="T82" s="214"/>
      <c r="U82" s="214"/>
      <c r="V82" s="214"/>
      <c r="W82" s="214"/>
      <c r="X82" s="214"/>
      <c r="Y82" s="214"/>
      <c r="Z82" s="214"/>
      <c r="AA82" s="214"/>
      <c r="AB82" s="214"/>
      <c r="AC82" s="214"/>
      <c r="AD82" s="214"/>
      <c r="AG82" s="216"/>
      <c r="AH82" s="216"/>
      <c r="AI82" s="216"/>
      <c r="AJ82" s="216"/>
    </row>
    <row r="83" spans="1:42" hidden="1" x14ac:dyDescent="0.2">
      <c r="J83" s="152"/>
      <c r="AF83" s="81"/>
      <c r="AG83" s="81"/>
      <c r="AH83" s="81"/>
      <c r="AI83" s="81"/>
      <c r="AJ83" s="81"/>
      <c r="AO83">
        <v>0.27</v>
      </c>
      <c r="AP83" t="s">
        <v>31</v>
      </c>
    </row>
    <row r="84" spans="1:42" ht="13.5" hidden="1" thickBot="1" x14ac:dyDescent="0.25">
      <c r="E84" s="73" t="s">
        <v>13</v>
      </c>
      <c r="F84" s="76"/>
      <c r="G84" s="76"/>
      <c r="H84" s="13" t="s">
        <v>10</v>
      </c>
      <c r="I84" s="128"/>
      <c r="J84" s="128"/>
      <c r="K84" s="128"/>
      <c r="L84" s="128"/>
      <c r="M84" s="150">
        <f>ROUND(IF(ISERROR($H$31*(M37/Annual_Salary)),0,$H$31*(M37/Annual_Salary)),4)</f>
        <v>0</v>
      </c>
      <c r="N84" s="150">
        <f>ROUND(IF(ISERROR($H$31*((N37)/Annual_Salary)),0,$H$31*((N37)/Annual_Salary)),4)</f>
        <v>0</v>
      </c>
      <c r="O84" s="150">
        <f>ROUND(IF(ISERROR($H$31*((O37)/Annual_Salary)),0,$H$31*((O37)/Annual_Salary)),4)</f>
        <v>0</v>
      </c>
      <c r="P84" s="151">
        <f>IF(ISERROR($H$31-SUM(M84:O84)),0,$H$31-SUM(M84:O84))</f>
        <v>0</v>
      </c>
      <c r="Q84" s="66">
        <f t="shared" ref="Q84:Q104" si="34">SUM(M84:P84)</f>
        <v>0</v>
      </c>
      <c r="R84" s="133"/>
      <c r="S84" s="140"/>
      <c r="T84" s="140"/>
      <c r="U84" s="140"/>
      <c r="V84" s="140"/>
      <c r="W84" s="140"/>
      <c r="X84" s="140"/>
      <c r="Y84" s="133"/>
      <c r="Z84" s="211"/>
      <c r="AA84" s="133"/>
      <c r="AB84" s="133"/>
      <c r="AC84" s="133"/>
      <c r="AD84" s="133"/>
      <c r="AF84" s="94"/>
      <c r="AG84" s="34"/>
      <c r="AH84" s="34"/>
      <c r="AI84" s="34"/>
      <c r="AJ84" s="78"/>
      <c r="AO84" s="70">
        <f>SUM(AO46:AO83)</f>
        <v>0.27</v>
      </c>
    </row>
    <row r="85" spans="1:42" hidden="1" x14ac:dyDescent="0.2">
      <c r="E85" s="74" t="s">
        <v>14</v>
      </c>
      <c r="F85" s="77"/>
      <c r="G85" s="77"/>
      <c r="H85" s="3"/>
      <c r="I85" s="3"/>
      <c r="J85" s="3"/>
      <c r="K85" s="3"/>
      <c r="L85" s="3"/>
      <c r="M85" s="69">
        <f>IF(ISERROR(M84-M43),0,M84-M43)</f>
        <v>0</v>
      </c>
      <c r="N85" s="69">
        <f>IF(ISERROR(N84-N43),0,N84-N43)</f>
        <v>0</v>
      </c>
      <c r="O85" s="69">
        <f>IF(ISERROR(O84-O43),0,O84-O43)</f>
        <v>0</v>
      </c>
      <c r="P85" s="69">
        <f>IF(ISERROR(P84-P43),0,P84-P43)</f>
        <v>0</v>
      </c>
      <c r="Q85" s="68">
        <f t="shared" si="34"/>
        <v>0</v>
      </c>
      <c r="R85" s="134"/>
      <c r="S85" s="134"/>
      <c r="T85" s="134"/>
      <c r="U85" s="134"/>
      <c r="V85" s="134"/>
      <c r="W85" s="134"/>
      <c r="X85" s="134"/>
      <c r="Y85" s="134"/>
      <c r="Z85" s="134"/>
      <c r="AA85" s="134"/>
      <c r="AB85" s="134"/>
      <c r="AC85" s="134"/>
      <c r="AD85" s="134"/>
      <c r="AF85" s="80"/>
      <c r="AG85" s="91"/>
      <c r="AH85" s="87"/>
      <c r="AI85" s="91"/>
      <c r="AJ85" s="127"/>
    </row>
    <row r="86" spans="1:42" hidden="1" x14ac:dyDescent="0.2">
      <c r="E86" s="74" t="s">
        <v>15</v>
      </c>
      <c r="F86" s="77"/>
      <c r="G86" s="77"/>
      <c r="H86" s="9" t="s">
        <v>11</v>
      </c>
      <c r="I86" s="9"/>
      <c r="J86" s="9"/>
      <c r="K86" s="9"/>
      <c r="L86" s="9"/>
      <c r="M86" s="68">
        <f>IF(ISERROR(M84-M43-M44),0,M84-M43-M44)</f>
        <v>0</v>
      </c>
      <c r="N86" s="68">
        <f>IF(ISERROR(N84-N43-N44),0,N84-N43-N44)</f>
        <v>0</v>
      </c>
      <c r="O86" s="68">
        <f>IF(ISERROR(O84-O43-O44),0,O84-O43-O44)</f>
        <v>0</v>
      </c>
      <c r="P86" s="68">
        <f>IF(ISERROR(P84-P43-P44),0,P84-P43-P44)</f>
        <v>0</v>
      </c>
      <c r="Q86" s="68">
        <f t="shared" si="34"/>
        <v>0</v>
      </c>
      <c r="R86" s="134"/>
      <c r="S86" s="134"/>
      <c r="T86" s="134"/>
      <c r="U86" s="134"/>
      <c r="V86" s="134"/>
      <c r="W86" s="134"/>
      <c r="X86" s="134"/>
      <c r="Y86" s="134">
        <f>Y85-Y84</f>
        <v>0</v>
      </c>
      <c r="Z86" s="134"/>
      <c r="AA86" s="134"/>
      <c r="AB86" s="134"/>
      <c r="AC86" s="134"/>
      <c r="AD86" s="134"/>
      <c r="AF86" s="95"/>
      <c r="AG86" s="78"/>
      <c r="AH86" s="96"/>
      <c r="AI86" s="34"/>
      <c r="AJ86" s="88"/>
    </row>
    <row r="87" spans="1:42" hidden="1" x14ac:dyDescent="0.2">
      <c r="E87" s="75"/>
      <c r="F87" s="78"/>
      <c r="G87" s="78"/>
      <c r="H87" s="7"/>
      <c r="I87" s="7"/>
      <c r="J87" s="7"/>
      <c r="K87" s="7"/>
      <c r="L87" s="7"/>
      <c r="M87" s="69">
        <f>IF(ISERROR(M84-M43-M44-M45),0,M84-M43-M44-M45)</f>
        <v>0</v>
      </c>
      <c r="N87" s="69">
        <f>IF(ISERROR(N84-N43-N44-N45),0,N84-N43-N44-N45)</f>
        <v>0</v>
      </c>
      <c r="O87" s="69">
        <f>IF(ISERROR(O84-O43-O44-O45),0,O84-O43-O44-O45)</f>
        <v>0</v>
      </c>
      <c r="P87" s="69">
        <f>IF(ISERROR(P84-P43-P44-P45),0,P84-P43-P44-P45)</f>
        <v>0</v>
      </c>
      <c r="Q87" s="68">
        <f t="shared" si="34"/>
        <v>0</v>
      </c>
      <c r="R87" s="134"/>
      <c r="S87" s="134"/>
      <c r="T87" s="134"/>
      <c r="U87" s="134"/>
      <c r="V87" s="134"/>
      <c r="W87" s="134"/>
      <c r="X87" s="134"/>
      <c r="Y87" s="134"/>
      <c r="Z87" s="134"/>
      <c r="AA87" s="134"/>
      <c r="AB87" s="134"/>
      <c r="AC87" s="134"/>
      <c r="AD87" s="134"/>
      <c r="AF87" s="84"/>
      <c r="AG87" s="86"/>
      <c r="AH87" s="85"/>
      <c r="AI87" s="85"/>
      <c r="AJ87" s="86"/>
    </row>
    <row r="88" spans="1:42" hidden="1" x14ac:dyDescent="0.2">
      <c r="E88" s="75"/>
      <c r="F88" s="78"/>
      <c r="G88" s="78"/>
      <c r="H88" s="7"/>
      <c r="I88" s="7"/>
      <c r="J88" s="7"/>
      <c r="K88" s="7"/>
      <c r="L88" s="7"/>
      <c r="M88" s="68">
        <f>IF(ISERROR(M84-M43-M44-M45-M46),0,M84-M43-M44-M45-M46)</f>
        <v>0</v>
      </c>
      <c r="N88" s="68">
        <f>IF(ISERROR(N84-N43-N44-N45-N46),0,N84-N43-N44-N45-N46)</f>
        <v>0</v>
      </c>
      <c r="O88" s="68">
        <f>IF(ISERROR(O84-O43-O44-O45-O46),0,O84-O43-O44-O45-O46)</f>
        <v>0</v>
      </c>
      <c r="P88" s="68">
        <f>IF(ISERROR(P84-P43-P44-P45-P46),0,P84-P43-P44-P45-P46)</f>
        <v>0</v>
      </c>
      <c r="Q88" s="68">
        <f t="shared" si="34"/>
        <v>0</v>
      </c>
      <c r="R88" s="134"/>
      <c r="S88" s="134"/>
      <c r="T88" s="134"/>
      <c r="U88" s="134"/>
      <c r="V88" s="134"/>
      <c r="W88" s="134"/>
      <c r="X88" s="134"/>
      <c r="Y88" s="134"/>
      <c r="Z88" s="134"/>
      <c r="AA88" s="134"/>
      <c r="AB88" s="134"/>
      <c r="AC88" s="134"/>
      <c r="AD88" s="134"/>
      <c r="AF88" s="89"/>
      <c r="AG88" s="93"/>
      <c r="AH88" s="91"/>
      <c r="AI88" s="92"/>
      <c r="AJ88" s="93"/>
    </row>
    <row r="89" spans="1:42" hidden="1" x14ac:dyDescent="0.2">
      <c r="E89" s="75"/>
      <c r="F89" s="78"/>
      <c r="G89" s="78"/>
      <c r="H89" s="7"/>
      <c r="I89" s="7"/>
      <c r="J89" s="7"/>
      <c r="K89" s="7"/>
      <c r="L89" s="7"/>
      <c r="M89" s="69">
        <f>IF(ISERROR(M84-M43-M44-M45-M46-M47),0,M84-M43-M44-M45-M46-M47)</f>
        <v>0</v>
      </c>
      <c r="N89" s="69">
        <f>IF(ISERROR(N84-N43-N44-N45-N46-N47),0,N84-N43-N44-N45-N46-N47)</f>
        <v>0</v>
      </c>
      <c r="O89" s="69">
        <f>IF(ISERROR(O84-O43-O44-O45-O46-O47),0,O84-O43-O44-O45-O46-O47)</f>
        <v>0</v>
      </c>
      <c r="P89" s="69">
        <f>IF(ISERROR(P84-P43-P44-P45-P46-P47),0,P84-P43-P44-P45-P46-P47)</f>
        <v>0</v>
      </c>
      <c r="Q89" s="68">
        <f t="shared" si="34"/>
        <v>0</v>
      </c>
      <c r="R89" s="134"/>
      <c r="S89" s="134"/>
      <c r="T89" s="134"/>
      <c r="U89" s="134"/>
      <c r="V89" s="134"/>
      <c r="W89" s="134"/>
      <c r="X89" s="134"/>
      <c r="Y89" s="134"/>
      <c r="Z89" s="134"/>
      <c r="AA89" s="134"/>
      <c r="AB89" s="134"/>
      <c r="AC89" s="134"/>
      <c r="AD89" s="134"/>
      <c r="AF89" s="89"/>
      <c r="AG89" s="111"/>
      <c r="AH89" s="91"/>
      <c r="AI89" s="90"/>
      <c r="AJ89" s="97"/>
    </row>
    <row r="90" spans="1:42" hidden="1" x14ac:dyDescent="0.2">
      <c r="E90" s="75"/>
      <c r="F90" s="78"/>
      <c r="G90" s="78"/>
      <c r="H90" s="7"/>
      <c r="I90" s="7"/>
      <c r="J90" s="7"/>
      <c r="K90" s="7"/>
      <c r="L90" s="7"/>
      <c r="M90" s="68">
        <f>IF(ISERROR(M84-M43-M44-M45-M46-M47-M48),0,M84-M43-M44-M45-M46-M47-M48)</f>
        <v>0</v>
      </c>
      <c r="N90" s="68">
        <f>IF(ISERROR(N84-N43-N44-N45-N46-N47-N48),0,N84-N43-N44-N45-N46-N47-N48)</f>
        <v>0</v>
      </c>
      <c r="O90" s="68">
        <f>IF(ISERROR(O84-O43-O44-O45-O46-O47-O48),0,O84-O43-O44-O45-O46-O47-O48)</f>
        <v>0</v>
      </c>
      <c r="P90" s="68">
        <f>IF(ISERROR(P84-P43-P44-P45-P46-P47-P48),0,P84-P43-P44-P45-P46-P47-P48)</f>
        <v>0</v>
      </c>
      <c r="Q90" s="68">
        <f t="shared" si="34"/>
        <v>0</v>
      </c>
      <c r="R90" s="134"/>
      <c r="S90" s="134"/>
      <c r="T90" s="134"/>
      <c r="U90" s="134"/>
      <c r="V90" s="134"/>
      <c r="W90" s="134"/>
      <c r="X90" s="134"/>
      <c r="Y90" s="134"/>
      <c r="Z90" s="134"/>
      <c r="AA90" s="134"/>
      <c r="AB90" s="134"/>
      <c r="AC90" s="134"/>
      <c r="AD90" s="134"/>
      <c r="AF90" s="89"/>
      <c r="AG90" s="111"/>
      <c r="AH90" s="91"/>
      <c r="AI90" s="90"/>
      <c r="AJ90" s="97"/>
    </row>
    <row r="91" spans="1:42" hidden="1" x14ac:dyDescent="0.2">
      <c r="E91" s="75"/>
      <c r="F91" s="78"/>
      <c r="G91" s="78"/>
      <c r="H91" s="7"/>
      <c r="I91" s="7"/>
      <c r="J91" s="7"/>
      <c r="K91" s="7"/>
      <c r="L91" s="7"/>
      <c r="M91" s="69">
        <f>IF(ISERROR(M84-M43-M44-M45-M46-M47-M48-M49),0,M84-M43-M44-M45-M46-M47-M48-M49)</f>
        <v>0</v>
      </c>
      <c r="N91" s="69">
        <f>IF(ISERROR(N84-N43-N44-N45-N46-N47-N48-N49),0,N84-N43-N44-N45-N46-N47-N48-N49)</f>
        <v>0</v>
      </c>
      <c r="O91" s="69">
        <f>IF(ISERROR(O84-O43-O44-O45-O46-O47-O48-O49),0,O84-O43-O44-O45-O46-O47-O48-O49)</f>
        <v>0</v>
      </c>
      <c r="P91" s="69">
        <f>IF(ISERROR(P84-P43-P44-P45-P46-P47-P48-P49),0,P84-P43-P44-P45-P46-P47-P48-P49)</f>
        <v>0</v>
      </c>
      <c r="Q91" s="68">
        <f t="shared" si="34"/>
        <v>0</v>
      </c>
      <c r="R91" s="134"/>
      <c r="S91" s="134"/>
      <c r="T91" s="134"/>
      <c r="U91" s="134"/>
      <c r="V91" s="134"/>
      <c r="W91" s="134"/>
      <c r="X91" s="134"/>
      <c r="Y91" s="134"/>
      <c r="Z91" s="134"/>
      <c r="AA91" s="134"/>
      <c r="AB91" s="134"/>
      <c r="AC91" s="134"/>
      <c r="AD91" s="134"/>
      <c r="AF91" s="89"/>
      <c r="AG91" s="111"/>
      <c r="AH91" s="91"/>
      <c r="AI91" s="90"/>
      <c r="AJ91" s="97"/>
    </row>
    <row r="92" spans="1:42" hidden="1" x14ac:dyDescent="0.2">
      <c r="E92" s="75"/>
      <c r="F92" s="78"/>
      <c r="G92" s="78"/>
      <c r="H92" s="7"/>
      <c r="I92" s="7"/>
      <c r="J92" s="7"/>
      <c r="K92" s="7"/>
      <c r="L92" s="7"/>
      <c r="M92" s="68">
        <f>IF(ISERROR(M84-M43-M44-M45-M46-M47-M48-M49-M50),0,M84-M43-M44-M45-M46-M47-M48-M49-M50)</f>
        <v>0</v>
      </c>
      <c r="N92" s="68">
        <f>IF(ISERROR(N84-N43-N44-N45-N46-N47-N48-N49-N50),0,N84-N43-N44-N45-N46-N47-N48-N49-N50)</f>
        <v>0</v>
      </c>
      <c r="O92" s="68">
        <f>IF(ISERROR(O84-O43-O44-O45-O46-O47-O48-O49-O50),0,O84-O43-O44-O45-O46-O47-O48-O49-O50)</f>
        <v>0</v>
      </c>
      <c r="P92" s="68">
        <f>IF(ISERROR(P84-P43-P44-P45-P46-P47-P48-P49-P50),0,P84-P43-P44-P45-P46-P47-P48-P49-P50)</f>
        <v>0</v>
      </c>
      <c r="Q92" s="68">
        <f t="shared" si="34"/>
        <v>0</v>
      </c>
      <c r="R92" s="134"/>
      <c r="S92" s="134"/>
      <c r="T92" s="134"/>
      <c r="U92" s="134"/>
      <c r="V92" s="134"/>
      <c r="W92" s="134"/>
      <c r="X92" s="134"/>
      <c r="Y92" s="134"/>
      <c r="Z92" s="134"/>
      <c r="AA92" s="134"/>
      <c r="AB92" s="134"/>
      <c r="AC92" s="134"/>
      <c r="AD92" s="134"/>
      <c r="AF92" s="89"/>
      <c r="AG92" s="111"/>
      <c r="AH92" s="91"/>
      <c r="AI92" s="90"/>
      <c r="AJ92" s="97"/>
    </row>
    <row r="93" spans="1:42" hidden="1" x14ac:dyDescent="0.2">
      <c r="E93" s="75"/>
      <c r="F93" s="78"/>
      <c r="G93" s="78"/>
      <c r="H93" s="7"/>
      <c r="I93" s="7"/>
      <c r="J93" s="7"/>
      <c r="K93" s="7"/>
      <c r="L93" s="7"/>
      <c r="M93" s="68">
        <f>IF(ISERROR(M84-M43-M44-M45-M46-M47-M48-M49-M50-M51),0,M84-M43-M44-M45-M46-M47-M48-M49-M50-M51)</f>
        <v>0</v>
      </c>
      <c r="N93" s="68">
        <f>IF(ISERROR(N84-N43-N44-N45-N46-N47-N48-N49-N50-N51),0,N84-N43-N44-N45-N46-N47-N48-N49-N50-N51)</f>
        <v>0</v>
      </c>
      <c r="O93" s="68">
        <f>IF(ISERROR(O84-O43-O44-O45-O46-O47-O48-O49-O50-O51),0,O84-O43-O44-O45-O46-O47-O48-O49-O50-O51)</f>
        <v>0</v>
      </c>
      <c r="P93" s="68">
        <f>IF(ISERROR(P84-P43-P44-P45-P46-P47-P48-P49-P50-P51),0,P84-P43-P44-P45-P46-P47-P48-P49-P50-P51)</f>
        <v>0</v>
      </c>
      <c r="Q93" s="68">
        <f t="shared" si="34"/>
        <v>0</v>
      </c>
      <c r="R93" s="134"/>
      <c r="S93" s="134"/>
      <c r="T93" s="134"/>
      <c r="U93" s="134"/>
      <c r="V93" s="134"/>
      <c r="W93" s="134"/>
      <c r="X93" s="134"/>
      <c r="Y93" s="134"/>
      <c r="Z93" s="134"/>
      <c r="AA93" s="134"/>
      <c r="AB93" s="134"/>
      <c r="AC93" s="134"/>
      <c r="AD93" s="134"/>
      <c r="AF93" s="337"/>
      <c r="AG93" s="338"/>
      <c r="AH93" s="30"/>
      <c r="AI93" s="339"/>
      <c r="AJ93" s="340"/>
    </row>
    <row r="94" spans="1:42" hidden="1" x14ac:dyDescent="0.2">
      <c r="E94" s="75"/>
      <c r="F94" s="78"/>
      <c r="G94" s="78"/>
      <c r="H94" s="7"/>
      <c r="I94" s="7"/>
      <c r="J94" s="7"/>
      <c r="K94" s="7"/>
      <c r="L94" s="7"/>
      <c r="M94" s="68">
        <f>IF(ISERROR(M84-M43-M44-M45-M46-M47-M48-M49-M50-M51-M52),0,M84-M43-M44-M45-M46-M47-M48-M49-M50-M51-M52)</f>
        <v>0</v>
      </c>
      <c r="N94" s="68">
        <f>IF(ISERROR(N84-N43-N44-N45-N46-N47-N48-N49-N50-N51-N52),0,N84-N43-N44-N45-N46-N47-N48-N49-N50-N51-N52)</f>
        <v>0</v>
      </c>
      <c r="O94" s="68">
        <f>IF(ISERROR(O84-O43-O44-O45-O46-O47-O48-O49-O50-O51-O52),0,O84-O43-O44-O45-O46-O47-O48-O49-O50-O51-O52)</f>
        <v>0</v>
      </c>
      <c r="P94" s="68">
        <f>IF(ISERROR(P84-P43-P44-P45-P46-P47-P48-P49-P50-P51-P52),0,P84-P43-P44-P45-P46-P47-P48-P49-P50-P51-P52)</f>
        <v>0</v>
      </c>
      <c r="Q94" s="68">
        <f t="shared" si="34"/>
        <v>0</v>
      </c>
      <c r="R94" s="134"/>
      <c r="S94" s="134"/>
      <c r="T94" s="134"/>
      <c r="U94" s="134"/>
      <c r="V94" s="134"/>
      <c r="W94" s="134"/>
      <c r="X94" s="134"/>
      <c r="Y94" s="134"/>
      <c r="Z94" s="134"/>
      <c r="AA94" s="134"/>
      <c r="AB94" s="134"/>
      <c r="AC94" s="134"/>
      <c r="AD94" s="134"/>
      <c r="AF94" s="337"/>
      <c r="AG94" s="338"/>
      <c r="AH94" s="30"/>
      <c r="AI94" s="339"/>
      <c r="AJ94" s="340"/>
    </row>
    <row r="95" spans="1:42" hidden="1" x14ac:dyDescent="0.2">
      <c r="E95" s="75"/>
      <c r="F95" s="78"/>
      <c r="G95" s="78"/>
      <c r="H95" s="7"/>
      <c r="I95" s="7"/>
      <c r="J95" s="7"/>
      <c r="K95" s="7"/>
      <c r="L95" s="7"/>
      <c r="M95" s="68">
        <f>IF(ISERROR(M84-M43-M44-M45-M46-M47-M48-M49-M50-M51-M52-M53),0,M84-M43-M44-M45-M46-M47-M48-M49-M50-M51-M52-M53)</f>
        <v>0</v>
      </c>
      <c r="N95" s="68">
        <f>IF(ISERROR(N84-N43-N44-N45-N46-N47-N48-N49-N50-N51-N52-N53),0,N84-N43-N44-N45-N46-N47-N48-N49-N50-N51-N52-N53)</f>
        <v>0</v>
      </c>
      <c r="O95" s="68">
        <f>IF(ISERROR(O84-O43-O44-O45-O46-O47-O48-O49-O50-O51-O52-O53),0,O84-O43-O44-O45-O46-O47-O48-O49-O50-O51-O52-O53)</f>
        <v>0</v>
      </c>
      <c r="P95" s="68">
        <f>IF(ISERROR(P84-P43-P44-P45-P46-P47-P48-P49-P50-P51-P52-P53),0,P84-P43-P44-P45-P46-P47-P48-P49-P50-P51-P52-P53)</f>
        <v>0</v>
      </c>
      <c r="Q95" s="68">
        <f t="shared" si="34"/>
        <v>0</v>
      </c>
      <c r="R95" s="134"/>
      <c r="S95" s="134"/>
      <c r="T95" s="134"/>
      <c r="U95" s="134"/>
      <c r="V95" s="134"/>
      <c r="W95" s="134"/>
      <c r="X95" s="134"/>
      <c r="Y95" s="134"/>
      <c r="Z95" s="134"/>
      <c r="AA95" s="134"/>
      <c r="AB95" s="134"/>
      <c r="AC95" s="134"/>
      <c r="AD95" s="134"/>
      <c r="AF95" s="337"/>
      <c r="AG95" s="338"/>
      <c r="AH95" s="30"/>
      <c r="AI95" s="339"/>
      <c r="AJ95" s="340"/>
    </row>
    <row r="96" spans="1:42" hidden="1" x14ac:dyDescent="0.2">
      <c r="E96" s="75"/>
      <c r="F96" s="78"/>
      <c r="G96" s="78"/>
      <c r="H96" s="7"/>
      <c r="I96" s="7"/>
      <c r="J96" s="7"/>
      <c r="K96" s="7"/>
      <c r="L96" s="7"/>
      <c r="M96" s="68">
        <f>IF(ISERROR(M84-M43-M44-M45-M46-M47-M48-M49-M50-M51-M52-M53-M54),0,M84-M43-M44-M45-M46-M47-M48-M49-M50-M51-M52-M53-M54)</f>
        <v>0</v>
      </c>
      <c r="N96" s="68">
        <f>IF(ISERROR(N84-N43-N44-N45-N46-N47-N48-N49-N50-N51-N52-N53-N54),0,N84-N43-N44-N45-N46-N47-N48-N49-N50-N51-N52-N53-N54)</f>
        <v>0</v>
      </c>
      <c r="O96" s="68">
        <f>IF(ISERROR(O84-O43-O44-O45-O46-O47-O48-O49-O50-O51-O52-O53-O54),0,O84-O43-O44-O45-O46-O47-O48-O49-O50-O51-O52-O53-O54)</f>
        <v>0</v>
      </c>
      <c r="P96" s="68">
        <f>IF(ISERROR(P84-P43-P44-P45-P46-P47-P48-P49-P50-P51-P52-P53-P54),0,P84-P43-P44-P45-P46-P47-P48-P49-P50-P51-P52-P53-P54)</f>
        <v>0</v>
      </c>
      <c r="Q96" s="68">
        <f t="shared" si="34"/>
        <v>0</v>
      </c>
      <c r="R96" s="134"/>
      <c r="S96" s="134"/>
      <c r="T96" s="134"/>
      <c r="U96" s="134"/>
      <c r="V96" s="134"/>
      <c r="W96" s="134"/>
      <c r="X96" s="134"/>
      <c r="Y96" s="134"/>
      <c r="Z96" s="134"/>
      <c r="AA96" s="134"/>
      <c r="AB96" s="134"/>
      <c r="AC96" s="134"/>
      <c r="AD96" s="134"/>
      <c r="AF96" s="337"/>
      <c r="AG96" s="338"/>
      <c r="AH96" s="30"/>
      <c r="AI96" s="339"/>
      <c r="AJ96" s="340"/>
    </row>
    <row r="97" spans="5:36" hidden="1" x14ac:dyDescent="0.2">
      <c r="E97" s="75"/>
      <c r="F97" s="78"/>
      <c r="G97" s="78"/>
      <c r="H97" s="7"/>
      <c r="I97" s="7"/>
      <c r="J97" s="7"/>
      <c r="K97" s="7"/>
      <c r="L97" s="7"/>
      <c r="M97" s="68">
        <f>IF(ISERROR(M84-M43-M44-M45-M46-M47-M48-M49-M50-M51-M52-M53-M54-M55),0,M84-M43-M44-M45-M46-M47-M48-M49-M50-M51-M52-M53-M54-M55)</f>
        <v>0</v>
      </c>
      <c r="N97" s="68">
        <f>IF(ISERROR(N84-N43-N44-N45-N46-N47-N48-N49-N50-N51-N52-N53-N54-N55),0,N84-N43-N44-N45-N46-N47-N48-N49-N50-N51-N52-N53-N54-N55)</f>
        <v>0</v>
      </c>
      <c r="O97" s="68">
        <f>IF(ISERROR(O84-O43-O44-O45-O46-O47-O48-O49-O50-O51-O52-O53-O54-O55),0,O84-O43-O44-O45-O46-O47-O48-O49-O50-O51-O52-O53-O54-O55)</f>
        <v>0</v>
      </c>
      <c r="P97" s="68">
        <f>IF(ISERROR(P84-P43-P44-P45-P46-P47-P48-P49-P50-P51-P52-P53-P54-P55),0,P84-P43-P44-P45-P46-P47-P48-P49-P50-P51-P52-P53-P54-P55)</f>
        <v>0</v>
      </c>
      <c r="Q97" s="68">
        <f t="shared" si="34"/>
        <v>0</v>
      </c>
      <c r="R97" s="134"/>
      <c r="S97" s="134"/>
      <c r="T97" s="134"/>
      <c r="U97" s="134"/>
      <c r="V97" s="134"/>
      <c r="W97" s="134"/>
      <c r="X97" s="134"/>
      <c r="Y97" s="134"/>
      <c r="Z97" s="134"/>
      <c r="AA97" s="134"/>
      <c r="AB97" s="134"/>
      <c r="AC97" s="134"/>
      <c r="AD97" s="134"/>
      <c r="AF97" s="337"/>
      <c r="AG97" s="338"/>
      <c r="AH97" s="30"/>
      <c r="AI97" s="339"/>
      <c r="AJ97" s="340"/>
    </row>
    <row r="98" spans="5:36" hidden="1" x14ac:dyDescent="0.2">
      <c r="E98" s="75"/>
      <c r="F98" s="78"/>
      <c r="G98" s="78"/>
      <c r="H98" s="7"/>
      <c r="I98" s="7"/>
      <c r="J98" s="7"/>
      <c r="K98" s="7"/>
      <c r="L98" s="7"/>
      <c r="M98" s="68">
        <f>IF(ISERROR(M84-M43-M44-M45-M46-M47-M48-M49-M50-M51-M52-M53-M54-M55-M56),0,M84-M43-M44-M45-M46-M47-M48-M49-M50-M51-M52-M53-M54-M55-M56)</f>
        <v>0</v>
      </c>
      <c r="N98" s="68">
        <f>IF(ISERROR(N84-N43-N44-N45-N46-N47-N48-N49-N50-N51-N52-N53-N54-N55-N56),0,N84-N43-N44-N45-N46-N47-N48-N49-N50-N51-N52-N53-N54-N55-N56)</f>
        <v>0</v>
      </c>
      <c r="O98" s="68">
        <f>IF(ISERROR(O84-O43-O44-O45-O46-O47-O48-O49-O50-O51-O52-O53-O54-O55-O56),0,O84-O43-O44-O45-O46-O47-O48-O49-O50-O51-O52-O53-O54-O55-O56)</f>
        <v>0</v>
      </c>
      <c r="P98" s="68">
        <f>IF(ISERROR(P84-P43-P44-P45-P46-P47-P48-P49-P50-P51-P52-P53-P54-P55-P56),0,P84-P43-P44-P45-P46-P47-P48-P49-P50-P51-P52-P53-P54-P55-P56)</f>
        <v>0</v>
      </c>
      <c r="Q98" s="68">
        <f t="shared" si="34"/>
        <v>0</v>
      </c>
      <c r="R98" s="134"/>
      <c r="S98" s="134"/>
      <c r="T98" s="134"/>
      <c r="U98" s="134"/>
      <c r="V98" s="134"/>
      <c r="W98" s="134"/>
      <c r="X98" s="134"/>
      <c r="Y98" s="134"/>
      <c r="Z98" s="134"/>
      <c r="AA98" s="134"/>
      <c r="AB98" s="134"/>
      <c r="AC98" s="134"/>
      <c r="AD98" s="134"/>
      <c r="AF98" s="337"/>
      <c r="AG98" s="338"/>
      <c r="AH98" s="30"/>
      <c r="AI98" s="339"/>
      <c r="AJ98" s="340"/>
    </row>
    <row r="99" spans="5:36" hidden="1" x14ac:dyDescent="0.2">
      <c r="E99" s="75"/>
      <c r="F99" s="78"/>
      <c r="G99" s="78"/>
      <c r="H99" s="7"/>
      <c r="I99" s="7"/>
      <c r="J99" s="7"/>
      <c r="K99" s="7"/>
      <c r="L99" s="7"/>
      <c r="M99" s="68">
        <f>IF(ISERROR(M84-M43-M44-M45-M46-M47-M48-M49-M50-M51-M52-M53-M54-M55-M56-M57),0,M84-M43-M44-M45-M46-M47-M48-M49-M50-M51-M52-M53-M54-M55-M56-M57)</f>
        <v>0</v>
      </c>
      <c r="N99" s="68">
        <f>IF(ISERROR(N84-N43-N44-N45-N46-N47-N48-N49-N50-N51-N52-N53-N54-N55-N56-N57),0,N84-N43-N44-N45-N46-N47-N48-N49-N50-N51-N52-N53-N54-N55-N56-N57)</f>
        <v>0</v>
      </c>
      <c r="O99" s="68">
        <f>IF(ISERROR(O84-O43-O44-O45-O46-O47-O48-O49-O50-O51-O52-O53-O54-O55-O56-O57),0,O84-O43-O44-O45-O46-O47-O48-O49-O50-O51-O52-O53-O54-O55-O56-O57)</f>
        <v>0</v>
      </c>
      <c r="P99" s="68">
        <f>IF(ISERROR(P84-P43-P44-P45-P46-P47-P48-P49-P50-P51-P52-P53-P54-P55-P56-P57),0,P84-P43-P44-P45-P46-P47-P48-P49-P50-P51-P52-P53-P54-P55-P56-P57)</f>
        <v>0</v>
      </c>
      <c r="Q99" s="68">
        <f t="shared" si="34"/>
        <v>0</v>
      </c>
      <c r="R99" s="134"/>
      <c r="S99" s="134"/>
      <c r="T99" s="134"/>
      <c r="U99" s="134"/>
      <c r="V99" s="134"/>
      <c r="W99" s="134"/>
      <c r="X99" s="134"/>
      <c r="Y99" s="134"/>
      <c r="Z99" s="134"/>
      <c r="AA99" s="134"/>
      <c r="AB99" s="134"/>
      <c r="AC99" s="134"/>
      <c r="AD99" s="134"/>
      <c r="AF99" s="337"/>
      <c r="AG99" s="338"/>
      <c r="AH99" s="30"/>
      <c r="AI99" s="339"/>
      <c r="AJ99" s="340"/>
    </row>
    <row r="100" spans="5:36" hidden="1" x14ac:dyDescent="0.2">
      <c r="E100" s="75"/>
      <c r="F100" s="78"/>
      <c r="G100" s="78"/>
      <c r="H100" s="7"/>
      <c r="I100" s="7"/>
      <c r="J100" s="7"/>
      <c r="K100" s="7"/>
      <c r="L100" s="7"/>
      <c r="M100" s="68">
        <f>IF(ISERROR(M84-M43-M44-M45-M46-M47-M48-M49-M50-M51-M52-M53-M54-M55-M56-M57-M58),0,M84-M43-M44-M45-M46-M47-M48-M49-M50-M51-M52-M53-M54-M55-M56-M57-M58)</f>
        <v>0</v>
      </c>
      <c r="N100" s="68">
        <f>IF(ISERROR(N84-N43-N44-N45-N46-N47-N48-N49-N50-N51-N52-N53-N54-N55-N56-N57-N58),0,N84-N43-N44-N45-N46-N47-N48-N49-N50-N51-N52-N53-N54-N55-N56-N57-N58)</f>
        <v>0</v>
      </c>
      <c r="O100" s="68">
        <f>IF(ISERROR(O84-O43-O44-O45-O46-O47-O48-O49-O50-O51-O52-O53-O54-O55-O56-O57-O58),0,O84-O43-O44-O45-O46-O47-O48-O49-O50-O51-O52-O53-O54-O55-O56-O57-O58)</f>
        <v>0</v>
      </c>
      <c r="P100" s="68">
        <f>IF(ISERROR(P84-P43-P44-P45-P46-P47-P48-P49-P50-P51-P52-P53-P54-P55-P56-P57-P58),0,P84-P43-P44-P45-P46-P47-P48-P49-P50-P51-P52-P53-P54-P55-P56-P57-P58)</f>
        <v>0</v>
      </c>
      <c r="Q100" s="68">
        <f t="shared" si="34"/>
        <v>0</v>
      </c>
      <c r="R100" s="134"/>
      <c r="S100" s="134"/>
      <c r="T100" s="134"/>
      <c r="U100" s="134"/>
      <c r="V100" s="134"/>
      <c r="W100" s="134"/>
      <c r="X100" s="134"/>
      <c r="Y100" s="134"/>
      <c r="Z100" s="134"/>
      <c r="AA100" s="134"/>
      <c r="AB100" s="134"/>
      <c r="AC100" s="134"/>
      <c r="AD100" s="134"/>
      <c r="AF100" s="337"/>
      <c r="AG100" s="338"/>
      <c r="AH100" s="30"/>
      <c r="AI100" s="339"/>
      <c r="AJ100" s="340"/>
    </row>
    <row r="101" spans="5:36" hidden="1" x14ac:dyDescent="0.2">
      <c r="E101" s="75"/>
      <c r="F101" s="78"/>
      <c r="G101" s="78"/>
      <c r="H101" s="7"/>
      <c r="I101" s="7"/>
      <c r="J101" s="7"/>
      <c r="K101" s="7"/>
      <c r="L101" s="7"/>
      <c r="M101" s="68">
        <f>IF(ISERROR(M84-M43-M44-M45-M46-M47-M48-M49-M50-M51-M52-M53-M54-M55-M56-M57-M58-M59),0,M84-M43-M44-M45-M46-M47-M48-M49-M50-M51-M52-M53-M54-M55-M56-M57-M58-M59)</f>
        <v>0</v>
      </c>
      <c r="N101" s="68">
        <f>IF(ISERROR(N84-N43-N44-N45-N46-N47-N48-N49-N50-N51-N52-N53-N54-N55-N56-N57-N58-N59),0,N84-N43-N44-N45-N46-N47-N48-N49-N50-N51-N52-N53-N54-N55-N56-N57-N58-N59)</f>
        <v>0</v>
      </c>
      <c r="O101" s="68">
        <f>IF(ISERROR(O84-O43-O44-O45-O46-O47-O48-O49-O50-O51-O52-O53-O54-O55-O56-O57-O58-O59),0,O84-O43-O44-O45-O46-O47-O48-O49-O50-O51-O52-O53-O54-O55-O56-O57-O58-O59)</f>
        <v>0</v>
      </c>
      <c r="P101" s="68">
        <f>IF(ISERROR(P84-P43-P44-P45-P46-P47-P48-P49-P50-P51-P52-P53-P54-P55-P56-P57-P58-P59),0,P84-P43-P44-P45-P46-P47-P48-P49-P50-P51-P52-P53-P54-P55-P56-P57-P58-P59)</f>
        <v>0</v>
      </c>
      <c r="Q101" s="68">
        <f t="shared" si="34"/>
        <v>0</v>
      </c>
      <c r="R101" s="134"/>
      <c r="S101" s="134"/>
      <c r="T101" s="134"/>
      <c r="U101" s="134"/>
      <c r="V101" s="134"/>
      <c r="W101" s="134"/>
      <c r="X101" s="134"/>
      <c r="Y101" s="134"/>
      <c r="Z101" s="134"/>
      <c r="AA101" s="134"/>
      <c r="AB101" s="134"/>
      <c r="AC101" s="134"/>
      <c r="AD101" s="134"/>
      <c r="AF101" s="337"/>
      <c r="AG101" s="338"/>
      <c r="AH101" s="30"/>
      <c r="AI101" s="339"/>
      <c r="AJ101" s="340"/>
    </row>
    <row r="102" spans="5:36" hidden="1" x14ac:dyDescent="0.2">
      <c r="E102" s="75"/>
      <c r="F102" s="78"/>
      <c r="G102" s="78"/>
      <c r="H102" s="7"/>
      <c r="I102" s="7"/>
      <c r="J102" s="7"/>
      <c r="K102" s="7"/>
      <c r="L102" s="7"/>
      <c r="M102" s="68">
        <f>IF(ISERROR(M84-M43-M44-M45-M46-M47-M48-M49-M50-M51-M52-M53-M54-M55-M56-M57-M58-M59-M60),0,M84-M43-M44-M45-M46-M47-M48-M49-M50-M51-M52-M53-M54-M55-M56-M57-M58-M59-M60)</f>
        <v>0</v>
      </c>
      <c r="N102" s="68">
        <f>IF(ISERROR(N84-N43-N44-N45-N46-N47-N48-N49-N50-N51-N52-N53-N54-N55-N56-N57-N58-N59-N60),0,N84-N43-N44-N45-N46-N47-N48-N49-N50-N51-N52-N53-N54-N55-N56-N57-N58-N59-N60)</f>
        <v>0</v>
      </c>
      <c r="O102" s="68">
        <f>IF(ISERROR(O84-O43-O44-O45-O46-O47-O48-O49-O50-O51-O52-O53-O54-O55-O56-O57-O58-O59-O60),0,O84-O43-O44-O45-O46-O47-O48-O49-O50-O51-O52-O53-O54-O55-O56-O57-O58-O59-O60)</f>
        <v>0</v>
      </c>
      <c r="P102" s="68">
        <f>IF(ISERROR(P84-P43-P44-P45-P46-P47-P48-P49-P50-P51-P52-P53-P54-P55-P56-P57-P58-P59-P60),0,P84-P43-P44-P45-P46-P47-P48-P49-P50-P51-P52-P53-P54-P55-P56-P57-P58-P59-P60)</f>
        <v>0</v>
      </c>
      <c r="Q102" s="68">
        <f t="shared" si="34"/>
        <v>0</v>
      </c>
      <c r="R102" s="134"/>
      <c r="S102" s="134"/>
      <c r="T102" s="134"/>
      <c r="U102" s="134"/>
      <c r="V102" s="134"/>
      <c r="W102" s="134"/>
      <c r="X102" s="134"/>
      <c r="Y102" s="134"/>
      <c r="Z102" s="134"/>
      <c r="AA102" s="134"/>
      <c r="AB102" s="134"/>
      <c r="AC102" s="134"/>
      <c r="AD102" s="134"/>
      <c r="AF102" s="337"/>
      <c r="AG102" s="338"/>
      <c r="AH102" s="30"/>
      <c r="AI102" s="339"/>
      <c r="AJ102" s="340"/>
    </row>
    <row r="103" spans="5:36" hidden="1" x14ac:dyDescent="0.2">
      <c r="E103" s="75"/>
      <c r="F103" s="78"/>
      <c r="G103" s="78"/>
      <c r="H103" s="7"/>
      <c r="I103" s="7"/>
      <c r="J103" s="7"/>
      <c r="K103" s="7"/>
      <c r="L103" s="7"/>
      <c r="M103" s="68">
        <f>IF(ISERROR(M84-M43-M44-M45-M46-M47-M48-M49-M50-M51-M52-M53-M54-M55-M56-M57-M58-M59-M60-M66),0,M84-M43-M44-M45-M46-M47-M48-M49-M50-M51-M52-M53-M54-M55-M56-M57-M58-M59-M60-M66)</f>
        <v>0</v>
      </c>
      <c r="N103" s="68">
        <f>IF(ISERROR(N84-N43-N44-N45-N46-N47-N48-N49-N50-N51-N52-N53-N54-N55-N56-N57-N58-N59-N60-N66),0,N84-N43-N44-N45-N46-N47-N48-N49-N50-N51-N52-N53-N54-N55-N56-N57-N58-N59-N60-N66)</f>
        <v>0</v>
      </c>
      <c r="O103" s="68">
        <f>IF(ISERROR(O84-O43-O44-O45-O46-O47-O48-O49-O50-O51-O52-O53-O54-O55-O56-O57-O58-O59-O60-O66),0,O84-O43-O44-O45-O46-O47-O48-O49-O50-O51-O52-O53-O54-O55-O56-O57-O58-O59-O60-O66)</f>
        <v>0</v>
      </c>
      <c r="P103" s="68">
        <f>IF(ISERROR(P84-P43-P44-P45-P46-P47-P48-P49-P50-P51-P52-P53-P54-P55-P56-P57-P58-P59-P60-P66),0,P84-P43-P44-P45-P46-P47-P48-P49-P50-P51-P52-P53-P54-P55-P56-P57-P58-P59-P60-P66)</f>
        <v>0</v>
      </c>
      <c r="Q103" s="68">
        <f t="shared" si="34"/>
        <v>0</v>
      </c>
      <c r="R103" s="134"/>
      <c r="S103" s="134"/>
      <c r="T103" s="134"/>
      <c r="U103" s="134"/>
      <c r="V103" s="134"/>
      <c r="W103" s="134"/>
      <c r="X103" s="134"/>
      <c r="Y103" s="134"/>
      <c r="Z103" s="134"/>
      <c r="AA103" s="134"/>
      <c r="AB103" s="134"/>
      <c r="AC103" s="134"/>
      <c r="AD103" s="134"/>
      <c r="AF103" s="337"/>
      <c r="AG103" s="338"/>
      <c r="AH103" s="30"/>
      <c r="AI103" s="339"/>
      <c r="AJ103" s="340"/>
    </row>
    <row r="104" spans="5:36" hidden="1" x14ac:dyDescent="0.2">
      <c r="E104" s="61"/>
      <c r="F104" s="62"/>
      <c r="G104" s="62"/>
      <c r="H104" s="2"/>
      <c r="I104" s="2"/>
      <c r="J104" s="2"/>
      <c r="K104" s="2"/>
      <c r="L104" s="2"/>
      <c r="M104" s="68">
        <f>IF(ISERROR(M84-M43-M44-M45-M46-M47-M48-M49-M50-M51-M52-M53-M54-M55-M56-M57-M58-M59-M60-M66-M67),0,M84-M43-M44-M45-M46-M47-M48-M49-M50-M51-M52-M53-M54-M55-M56-M57-M58-M59-M60-M66-M67)</f>
        <v>0</v>
      </c>
      <c r="N104" s="68">
        <f>IF(ISERROR(N84-N43-N44-N45-N46-N47-N48-N49-N50-N51-N52-N53-N54-N55-N56-N57-N58-N59-N60-N66-N67),0,N84-N43-N44-N45-N46-N47-N48-N49-N50-N51-N52-N53-N54-N55-N56-N57-N58-N59-N60-N66-N67)</f>
        <v>0</v>
      </c>
      <c r="O104" s="68">
        <f>IF(ISERROR(O84-O43-O44-O45-O46-O47-O48-O49-O50-O51-O52-O53-O54-O55-O56-O57-O58-O59-O60-O66-O67),0,O84-O43-O44-O45-O46-O47-O48-O49-O50-O51-O52-O53-O54-O55-O56-O57-O58-O59-O60-O66-O67)</f>
        <v>0</v>
      </c>
      <c r="P104" s="68">
        <f>IF(ISERROR(P84-P43-P44-P45-P46-P47-P48-P49-P50-P51-P52-P53-P54-P55-P56-P57-P58-P59-P60-P66-P67),0,P84-P43-P44-P45-P46-P47-P48-P49-P50-P51-P52-P53-P54-P55-P56-P57-P58-P59-P60-P66-P67)</f>
        <v>0</v>
      </c>
      <c r="Q104" s="68">
        <f t="shared" si="34"/>
        <v>0</v>
      </c>
      <c r="R104" s="134"/>
      <c r="S104" s="134"/>
      <c r="T104" s="134"/>
      <c r="U104" s="134"/>
      <c r="V104" s="134"/>
      <c r="W104" s="134"/>
      <c r="X104" s="134"/>
      <c r="Y104" s="134"/>
      <c r="Z104" s="134"/>
      <c r="AA104" s="134"/>
      <c r="AB104" s="134"/>
      <c r="AC104" s="134"/>
      <c r="AD104" s="134"/>
      <c r="AF104" s="80"/>
      <c r="AG104" s="81"/>
      <c r="AH104" s="81"/>
      <c r="AI104" s="81"/>
      <c r="AJ104" s="82"/>
    </row>
    <row r="105" spans="5:36" hidden="1" x14ac:dyDescent="0.2"/>
    <row r="106" spans="5:36" hidden="1" x14ac:dyDescent="0.2"/>
    <row r="107" spans="5:36" hidden="1" x14ac:dyDescent="0.2"/>
  </sheetData>
  <sheetProtection password="F4FD" sheet="1" objects="1" scenarios="1"/>
  <mergeCells count="15">
    <mergeCell ref="A71:Q73"/>
    <mergeCell ref="G21:I22"/>
    <mergeCell ref="T71:V71"/>
    <mergeCell ref="T72:V73"/>
    <mergeCell ref="U2:Z2"/>
    <mergeCell ref="U3:Z3"/>
    <mergeCell ref="U4:V4"/>
    <mergeCell ref="K1:O1"/>
    <mergeCell ref="P2:S2"/>
    <mergeCell ref="G2:O2"/>
    <mergeCell ref="AD22:AF22"/>
    <mergeCell ref="AB22:AC22"/>
    <mergeCell ref="G11:J12"/>
    <mergeCell ref="G9:J10"/>
    <mergeCell ref="G7:H8"/>
  </mergeCells>
  <phoneticPr fontId="0" type="noConversion"/>
  <conditionalFormatting sqref="Q22">
    <cfRule type="cellIs" dxfId="1"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7">
      <formula1>0</formula1>
      <formula2>1</formula2>
    </dataValidation>
    <dataValidation allowBlank="1" showInputMessage="1" showErrorMessage="1" errorTitle="Scale Validation" error="You must enter the letter &quot;x&quot; to calculate for Instructor." sqref="H33"/>
    <dataValidation type="whole" allowBlank="1" showInputMessage="1" showErrorMessage="1" error="Please enter a number between 9 and 22 to denote the appropriate salary cap." sqref="A43:A67">
      <formula1>9</formula1>
      <formula2>25</formula2>
    </dataValidation>
    <dataValidation type="list" allowBlank="1" showInputMessage="1" showErrorMessage="1" sqref="G43:G66">
      <formula1>"ADD,CHANGE,END"</formula1>
    </dataValidation>
  </dataValidations>
  <hyperlinks>
    <hyperlink ref="I26" location="GenlInstr!D9" display="GenlInstr!D9"/>
    <hyperlink ref="A39" location="GenlInstr!B11" display="GenlInstr!B11"/>
    <hyperlink ref="R39" location="GenlInstr!D11" display="GenlInstr!D11"/>
    <hyperlink ref="A69" location="GenlInstr!F11" display="GenlInstr!F11"/>
    <hyperlink ref="O4" location="GenlInstr!F9" display="GenlInstr!F9"/>
    <hyperlink ref="I31" location="GenlInstr!B10" display="GenlInstr!B10"/>
    <hyperlink ref="I32" location="GenlInstr!D10" display="GenlInstr!D10"/>
    <hyperlink ref="I33" location="GenlInstr!F10" display="GenlInstr!F10"/>
    <hyperlink ref="I8" location="GenlInstr!B9" display="GenlInstr!B9"/>
  </hyperlinks>
  <pageMargins left="0.2" right="0.2" top="0.25" bottom="0.25" header="0.33" footer="0.5"/>
  <pageSetup paperSize="5" scale="54"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enableFormatConditionsCalculation="0">
    <pageSetUpPr fitToPage="1"/>
  </sheetPr>
  <dimension ref="A1:AR99"/>
  <sheetViews>
    <sheetView showGridLines="0" showZeros="0" zoomScaleNormal="100" zoomScalePageLayoutView="125" workbookViewId="0">
      <selection activeCell="G9" sqref="G9:J10"/>
    </sheetView>
  </sheetViews>
  <sheetFormatPr defaultColWidth="8.85546875" defaultRowHeight="12.75" x14ac:dyDescent="0.2"/>
  <cols>
    <col min="1" max="1" width="4.7109375" style="46" customWidth="1"/>
    <col min="2" max="4" width="9.7109375" style="46" customWidth="1"/>
    <col min="5" max="6" width="9.7109375" customWidth="1"/>
    <col min="7" max="7" width="12.140625" customWidth="1"/>
    <col min="8" max="8" width="17.42578125" customWidth="1"/>
    <col min="9" max="9" width="9" customWidth="1"/>
    <col min="10" max="10" width="9.28515625" customWidth="1"/>
    <col min="11" max="11" width="12.85546875" customWidth="1"/>
    <col min="12" max="12" width="12.42578125" bestFit="1" customWidth="1"/>
    <col min="13" max="13" width="11.140625" customWidth="1"/>
    <col min="14" max="14" width="10.42578125" customWidth="1"/>
    <col min="15" max="15" width="12.85546875" bestFit="1" customWidth="1"/>
    <col min="16" max="16" width="10.42578125" customWidth="1"/>
    <col min="17" max="17" width="13.140625" customWidth="1"/>
    <col min="18" max="18" width="1.140625" customWidth="1"/>
    <col min="19" max="19" width="12.42578125" customWidth="1"/>
    <col min="20" max="26" width="17.140625" customWidth="1"/>
    <col min="27" max="27" width="8.85546875" customWidth="1"/>
    <col min="28" max="33" width="8" hidden="1" customWidth="1"/>
    <col min="34" max="34" width="9.140625" customWidth="1"/>
    <col min="35" max="35" width="8.28515625" customWidth="1"/>
    <col min="36" max="36" width="10.42578125" customWidth="1"/>
    <col min="37" max="38" width="10.28515625" customWidth="1"/>
    <col min="39" max="39" width="9" customWidth="1"/>
    <col min="40" max="42" width="8.85546875" customWidth="1"/>
    <col min="48" max="48" width="17.42578125" customWidth="1"/>
    <col min="49" max="49" width="21.140625" customWidth="1"/>
    <col min="50" max="50" width="27" customWidth="1"/>
    <col min="51" max="51" width="24.85546875" customWidth="1"/>
  </cols>
  <sheetData>
    <row r="1" spans="1:33" ht="38.1" customHeight="1" thickBot="1" x14ac:dyDescent="0.55000000000000004">
      <c r="A1" s="590" t="s">
        <v>175</v>
      </c>
      <c r="B1" s="602"/>
      <c r="C1" s="602"/>
      <c r="D1" s="602"/>
      <c r="E1" s="602"/>
      <c r="F1" s="602"/>
      <c r="G1" s="602"/>
      <c r="H1" s="602"/>
      <c r="I1" s="602"/>
      <c r="J1" s="233"/>
      <c r="K1" s="687" t="s">
        <v>201</v>
      </c>
      <c r="L1" s="687"/>
      <c r="M1" s="687"/>
      <c r="N1" s="687"/>
      <c r="O1" s="687"/>
      <c r="P1" s="233"/>
      <c r="Q1" s="233"/>
      <c r="R1" s="54"/>
      <c r="S1" s="234"/>
      <c r="T1" s="234"/>
      <c r="U1" s="234"/>
      <c r="V1" s="234"/>
      <c r="W1" s="234"/>
      <c r="X1" s="234"/>
      <c r="Y1" s="54"/>
      <c r="Z1" s="54"/>
      <c r="AA1" s="54"/>
      <c r="AB1" s="54"/>
      <c r="AC1" s="54"/>
      <c r="AD1" s="54"/>
      <c r="AE1" s="54"/>
      <c r="AF1" s="54"/>
      <c r="AG1" s="54"/>
    </row>
    <row r="2" spans="1:33" ht="26.25" customHeight="1" thickBot="1" x14ac:dyDescent="0.4">
      <c r="A2" s="571"/>
      <c r="B2" s="611" t="s">
        <v>219</v>
      </c>
      <c r="C2" s="571"/>
      <c r="D2" s="571"/>
      <c r="E2" s="572"/>
      <c r="F2" s="572"/>
      <c r="G2" s="640"/>
      <c r="H2" s="640"/>
      <c r="I2" s="640"/>
      <c r="J2" s="640"/>
      <c r="K2" s="640"/>
      <c r="L2" s="640"/>
      <c r="M2" s="640"/>
      <c r="N2" s="640"/>
      <c r="O2" s="640"/>
      <c r="P2" s="639" t="s">
        <v>218</v>
      </c>
      <c r="Q2" s="639"/>
      <c r="R2" s="639"/>
      <c r="S2" s="639"/>
      <c r="U2" s="659" t="s">
        <v>195</v>
      </c>
      <c r="V2" s="660"/>
      <c r="W2" s="660"/>
      <c r="X2" s="660"/>
      <c r="Y2" s="660"/>
      <c r="Z2" s="661"/>
    </row>
    <row r="3" spans="1:33" ht="5.0999999999999996" customHeight="1" thickTop="1" thickBot="1" x14ac:dyDescent="0.25">
      <c r="A3" s="147"/>
      <c r="B3" s="495"/>
      <c r="C3" s="495"/>
      <c r="D3" s="495"/>
      <c r="E3" s="35"/>
      <c r="F3" s="35"/>
      <c r="G3" s="35"/>
      <c r="H3" s="35"/>
      <c r="I3" s="35"/>
      <c r="J3" s="35"/>
      <c r="K3" s="35"/>
      <c r="L3" s="35"/>
      <c r="M3" s="35"/>
      <c r="N3" s="35"/>
      <c r="O3" s="35"/>
      <c r="P3" s="35"/>
      <c r="Q3" s="35"/>
      <c r="R3" s="35"/>
      <c r="S3" s="49"/>
      <c r="T3" s="34"/>
      <c r="U3" s="662"/>
      <c r="V3" s="663"/>
      <c r="W3" s="664"/>
      <c r="X3" s="664"/>
      <c r="Y3" s="664"/>
      <c r="Z3" s="665"/>
      <c r="AA3" s="34"/>
      <c r="AB3" s="34"/>
      <c r="AC3" s="34"/>
      <c r="AD3" s="34"/>
      <c r="AE3" s="34"/>
      <c r="AF3" s="34"/>
      <c r="AG3" s="34"/>
    </row>
    <row r="4" spans="1:33" ht="20.100000000000001" customHeight="1" thickBot="1" x14ac:dyDescent="0.25">
      <c r="A4" s="63"/>
      <c r="B4" s="30"/>
      <c r="C4" s="30"/>
      <c r="D4" s="30"/>
      <c r="E4" s="205" t="s">
        <v>123</v>
      </c>
      <c r="F4" s="72"/>
      <c r="G4" s="72"/>
      <c r="H4" s="34"/>
      <c r="I4" s="34"/>
      <c r="J4" s="34"/>
      <c r="K4" s="34"/>
      <c r="L4" s="34"/>
      <c r="M4" s="34"/>
      <c r="N4" s="34"/>
      <c r="O4" s="254" t="s">
        <v>80</v>
      </c>
      <c r="P4" s="254"/>
      <c r="Q4" s="359" t="s">
        <v>118</v>
      </c>
      <c r="R4" s="355"/>
      <c r="S4" s="357" t="s">
        <v>117</v>
      </c>
      <c r="T4" s="560"/>
      <c r="U4" s="705" t="s">
        <v>203</v>
      </c>
      <c r="V4" s="706"/>
      <c r="W4" s="578" t="s">
        <v>197</v>
      </c>
      <c r="X4" s="579" t="s">
        <v>40</v>
      </c>
      <c r="Y4" s="580" t="s">
        <v>198</v>
      </c>
      <c r="Z4" s="581"/>
      <c r="AA4" s="34"/>
      <c r="AB4" s="34"/>
      <c r="AC4" s="34"/>
      <c r="AD4" s="34"/>
      <c r="AE4" s="34"/>
      <c r="AF4" s="34"/>
      <c r="AG4" s="34"/>
    </row>
    <row r="5" spans="1:33" ht="14.1" customHeight="1" thickBot="1" x14ac:dyDescent="0.25">
      <c r="A5" s="63"/>
      <c r="B5" s="30"/>
      <c r="C5" s="30"/>
      <c r="D5" s="30"/>
      <c r="E5" s="205"/>
      <c r="K5" s="34"/>
      <c r="L5" s="34"/>
      <c r="M5" s="34"/>
      <c r="N5" s="34"/>
      <c r="O5" s="135"/>
      <c r="P5" s="360"/>
      <c r="Q5" s="87"/>
      <c r="R5" s="34"/>
      <c r="S5" s="358"/>
      <c r="T5" s="561"/>
      <c r="U5" s="512" t="s">
        <v>187</v>
      </c>
      <c r="V5" s="513" t="s">
        <v>188</v>
      </c>
      <c r="W5" s="547" t="s">
        <v>189</v>
      </c>
      <c r="X5" s="222" t="s">
        <v>193</v>
      </c>
      <c r="Y5" s="222" t="s">
        <v>194</v>
      </c>
      <c r="Z5" s="576" t="s">
        <v>196</v>
      </c>
      <c r="AA5" s="34"/>
      <c r="AB5" s="34"/>
      <c r="AC5" s="34"/>
      <c r="AD5" s="34"/>
      <c r="AE5" s="34"/>
      <c r="AF5" s="34"/>
      <c r="AG5" s="34"/>
    </row>
    <row r="6" spans="1:33" ht="14.1" customHeight="1" thickBot="1" x14ac:dyDescent="0.25">
      <c r="A6" s="63"/>
      <c r="B6" s="30"/>
      <c r="C6" s="30"/>
      <c r="D6" s="30"/>
      <c r="E6" s="30"/>
      <c r="J6" s="153"/>
      <c r="K6" s="153"/>
      <c r="L6" s="52"/>
      <c r="O6" s="385"/>
      <c r="P6" s="360"/>
      <c r="Q6" s="87"/>
      <c r="R6" s="34"/>
      <c r="S6" s="386"/>
      <c r="T6" s="621" t="s">
        <v>216</v>
      </c>
      <c r="U6" s="512" t="s">
        <v>187</v>
      </c>
      <c r="V6" s="513" t="s">
        <v>188</v>
      </c>
      <c r="W6" s="547" t="s">
        <v>189</v>
      </c>
      <c r="X6" s="222" t="s">
        <v>193</v>
      </c>
      <c r="Y6" s="222" t="s">
        <v>194</v>
      </c>
      <c r="Z6" s="576" t="s">
        <v>196</v>
      </c>
      <c r="AA6" s="48"/>
      <c r="AB6" s="48"/>
      <c r="AC6" s="48"/>
      <c r="AD6" s="48"/>
      <c r="AE6" s="48"/>
    </row>
    <row r="7" spans="1:33" ht="14.1" customHeight="1" x14ac:dyDescent="0.2">
      <c r="A7" s="63"/>
      <c r="B7" s="30"/>
      <c r="C7" s="30"/>
      <c r="D7" s="30"/>
      <c r="E7" s="30"/>
      <c r="F7" s="326" t="s">
        <v>112</v>
      </c>
      <c r="G7" s="707"/>
      <c r="H7" s="708"/>
      <c r="K7" s="153"/>
      <c r="L7" s="52"/>
      <c r="M7" s="34"/>
      <c r="N7" s="34"/>
      <c r="O7" s="385" t="s">
        <v>124</v>
      </c>
      <c r="P7" s="360">
        <v>12</v>
      </c>
      <c r="Q7" s="87">
        <v>180100</v>
      </c>
      <c r="R7" s="34"/>
      <c r="S7" s="386">
        <f t="shared" ref="S7:S19" si="0">Q7/12</f>
        <v>15008.333333333334</v>
      </c>
      <c r="T7" s="585"/>
      <c r="U7" s="585"/>
      <c r="V7" s="586"/>
      <c r="W7" s="603"/>
      <c r="X7" s="586"/>
      <c r="Y7" s="603"/>
      <c r="Z7" s="587" t="s">
        <v>40</v>
      </c>
      <c r="AA7" s="34"/>
      <c r="AC7" s="109" t="s">
        <v>30</v>
      </c>
      <c r="AF7" s="109" t="s">
        <v>39</v>
      </c>
      <c r="AG7" s="126">
        <f>SUM(AE36:AG36)</f>
        <v>0</v>
      </c>
    </row>
    <row r="8" spans="1:33" ht="14.1" customHeight="1" x14ac:dyDescent="0.2">
      <c r="A8" s="63"/>
      <c r="B8" s="30"/>
      <c r="C8" s="30"/>
      <c r="D8" s="30"/>
      <c r="E8" s="30"/>
      <c r="F8" s="135"/>
      <c r="G8" s="709"/>
      <c r="H8" s="710"/>
      <c r="I8" s="327" t="s">
        <v>80</v>
      </c>
      <c r="K8" s="153"/>
      <c r="L8" s="52"/>
      <c r="M8" s="34"/>
      <c r="N8" s="34"/>
      <c r="O8" s="385" t="s">
        <v>125</v>
      </c>
      <c r="P8" s="360">
        <v>13</v>
      </c>
      <c r="Q8" s="87">
        <v>183500</v>
      </c>
      <c r="R8" s="34"/>
      <c r="S8" s="386">
        <f t="shared" si="0"/>
        <v>15291.666666666666</v>
      </c>
      <c r="T8" s="585"/>
      <c r="U8" s="585"/>
      <c r="V8" s="586"/>
      <c r="W8" s="603"/>
      <c r="X8" s="586"/>
      <c r="Y8" s="603"/>
      <c r="Z8" s="587" t="s">
        <v>40</v>
      </c>
      <c r="AA8" s="34"/>
      <c r="AC8" s="109"/>
      <c r="AF8" s="109"/>
      <c r="AG8" s="126"/>
    </row>
    <row r="9" spans="1:33" ht="14.1" customHeight="1" x14ac:dyDescent="0.2">
      <c r="A9" s="63"/>
      <c r="B9" s="30"/>
      <c r="C9" s="30"/>
      <c r="D9" s="30"/>
      <c r="E9" s="30"/>
      <c r="F9" s="135" t="s">
        <v>44</v>
      </c>
      <c r="G9" s="688"/>
      <c r="H9" s="689"/>
      <c r="I9" s="689"/>
      <c r="J9" s="690"/>
      <c r="K9" s="153"/>
      <c r="L9" s="52"/>
      <c r="M9" s="34"/>
      <c r="N9" s="34"/>
      <c r="O9" s="385" t="s">
        <v>127</v>
      </c>
      <c r="P9" s="360">
        <v>14</v>
      </c>
      <c r="Q9" s="87">
        <v>186600</v>
      </c>
      <c r="R9" s="34"/>
      <c r="S9" s="386">
        <f t="shared" si="0"/>
        <v>15550</v>
      </c>
      <c r="T9" s="585"/>
      <c r="U9" s="585"/>
      <c r="V9" s="586"/>
      <c r="W9" s="603"/>
      <c r="X9" s="586"/>
      <c r="Y9" s="603"/>
      <c r="Z9" s="587" t="s">
        <v>40</v>
      </c>
      <c r="AA9" s="34"/>
      <c r="AB9" s="109"/>
      <c r="AE9" s="109"/>
      <c r="AF9" s="126"/>
    </row>
    <row r="10" spans="1:33" ht="14.1" customHeight="1" x14ac:dyDescent="0.2">
      <c r="A10" s="63"/>
      <c r="B10" s="30"/>
      <c r="C10" s="30"/>
      <c r="D10" s="30"/>
      <c r="E10" s="30"/>
      <c r="F10" s="135"/>
      <c r="G10" s="691"/>
      <c r="H10" s="692"/>
      <c r="I10" s="692"/>
      <c r="J10" s="693"/>
      <c r="K10" s="153"/>
      <c r="L10" s="52"/>
      <c r="M10" s="34"/>
      <c r="N10" s="34"/>
      <c r="O10" s="326" t="s">
        <v>133</v>
      </c>
      <c r="P10" s="360">
        <v>15</v>
      </c>
      <c r="Q10" s="87">
        <v>200000</v>
      </c>
      <c r="R10" s="34"/>
      <c r="S10" s="386">
        <f t="shared" si="0"/>
        <v>16666.666666666668</v>
      </c>
      <c r="T10" s="585"/>
      <c r="U10" s="585"/>
      <c r="V10" s="586"/>
      <c r="W10" s="603"/>
      <c r="X10" s="586"/>
      <c r="Y10" s="603"/>
      <c r="Z10" s="587" t="s">
        <v>40</v>
      </c>
      <c r="AA10" s="34"/>
      <c r="AB10" s="109"/>
      <c r="AE10" s="109"/>
      <c r="AF10" s="126"/>
    </row>
    <row r="11" spans="1:33" ht="14.1" customHeight="1" x14ac:dyDescent="0.2">
      <c r="A11" s="63"/>
      <c r="B11" s="30"/>
      <c r="C11" s="30"/>
      <c r="D11" s="30"/>
      <c r="E11" s="30"/>
      <c r="F11" s="135" t="s">
        <v>45</v>
      </c>
      <c r="G11" s="688"/>
      <c r="H11" s="689"/>
      <c r="I11" s="689"/>
      <c r="J11" s="690"/>
      <c r="K11" s="153"/>
      <c r="L11" s="52"/>
      <c r="M11" s="34"/>
      <c r="N11" s="34"/>
      <c r="O11" s="326" t="s">
        <v>129</v>
      </c>
      <c r="P11" s="360">
        <v>16</v>
      </c>
      <c r="Q11" s="87">
        <v>191300</v>
      </c>
      <c r="R11" s="34"/>
      <c r="S11" s="386">
        <f t="shared" si="0"/>
        <v>15941.666666666666</v>
      </c>
      <c r="T11" s="585"/>
      <c r="U11" s="585"/>
      <c r="V11" s="586"/>
      <c r="W11" s="603"/>
      <c r="X11" s="586"/>
      <c r="Y11" s="603"/>
      <c r="Z11" s="587" t="s">
        <v>40</v>
      </c>
      <c r="AA11" s="34"/>
      <c r="AB11" s="109"/>
      <c r="AE11" s="109"/>
      <c r="AF11" s="126"/>
    </row>
    <row r="12" spans="1:33" ht="14.1" customHeight="1" x14ac:dyDescent="0.2">
      <c r="A12" s="63"/>
      <c r="B12" s="30"/>
      <c r="C12" s="30"/>
      <c r="D12" s="30"/>
      <c r="E12" s="30"/>
      <c r="F12" s="135"/>
      <c r="G12" s="691"/>
      <c r="H12" s="692"/>
      <c r="I12" s="692"/>
      <c r="J12" s="693"/>
      <c r="K12" s="153"/>
      <c r="L12" s="52"/>
      <c r="M12" s="34"/>
      <c r="N12" s="34"/>
      <c r="O12" s="431" t="s">
        <v>128</v>
      </c>
      <c r="P12" s="428">
        <v>17</v>
      </c>
      <c r="Q12" s="429">
        <v>207000</v>
      </c>
      <c r="R12" s="154"/>
      <c r="S12" s="430">
        <f t="shared" si="0"/>
        <v>17250</v>
      </c>
      <c r="T12" s="585"/>
      <c r="U12" s="585"/>
      <c r="V12" s="586"/>
      <c r="W12" s="603"/>
      <c r="X12" s="586"/>
      <c r="Y12" s="603"/>
      <c r="Z12" s="587" t="s">
        <v>40</v>
      </c>
      <c r="AA12" s="34"/>
      <c r="AB12" s="109"/>
      <c r="AE12" s="109"/>
      <c r="AF12" s="126"/>
    </row>
    <row r="13" spans="1:33" ht="14.1" customHeight="1" thickBot="1" x14ac:dyDescent="0.25">
      <c r="A13" s="63"/>
      <c r="B13" s="30"/>
      <c r="C13" s="30"/>
      <c r="D13" s="30"/>
      <c r="E13" s="30"/>
      <c r="F13" s="135"/>
      <c r="G13" s="135"/>
      <c r="H13" s="383"/>
      <c r="I13" s="384"/>
      <c r="K13" s="153"/>
      <c r="L13" s="52"/>
      <c r="M13" s="34"/>
      <c r="N13" s="34"/>
      <c r="O13" s="421" t="s">
        <v>144</v>
      </c>
      <c r="P13" s="422">
        <v>18</v>
      </c>
      <c r="Q13" s="423">
        <v>196700</v>
      </c>
      <c r="R13" s="420"/>
      <c r="S13" s="424">
        <f t="shared" si="0"/>
        <v>16391.666666666668</v>
      </c>
      <c r="T13" s="562"/>
      <c r="U13" s="573"/>
      <c r="V13" s="574"/>
      <c r="W13" s="574"/>
      <c r="X13" s="574"/>
      <c r="Y13" s="574"/>
      <c r="Z13" s="575"/>
      <c r="AA13" s="34"/>
      <c r="AB13" s="109"/>
      <c r="AE13" s="109"/>
      <c r="AF13" s="126"/>
    </row>
    <row r="14" spans="1:33" ht="14.1" customHeight="1" thickBot="1" x14ac:dyDescent="0.25">
      <c r="A14" s="63"/>
      <c r="B14" s="30"/>
      <c r="C14" s="30"/>
      <c r="D14" s="30"/>
      <c r="E14" s="30"/>
      <c r="F14" s="135"/>
      <c r="G14" s="135"/>
      <c r="H14" s="383"/>
      <c r="I14" s="384"/>
      <c r="K14" s="153"/>
      <c r="L14" s="52"/>
      <c r="M14" s="34"/>
      <c r="N14" s="34"/>
      <c r="O14" s="427" t="s">
        <v>145</v>
      </c>
      <c r="P14" s="428">
        <v>19</v>
      </c>
      <c r="Q14" s="429">
        <v>199700</v>
      </c>
      <c r="R14" s="154"/>
      <c r="S14" s="430">
        <f t="shared" si="0"/>
        <v>16641.666666666668</v>
      </c>
      <c r="T14" s="562"/>
      <c r="U14" s="635" t="s">
        <v>199</v>
      </c>
      <c r="V14" s="636"/>
      <c r="W14" s="577" t="s">
        <v>197</v>
      </c>
      <c r="X14" s="588" t="s">
        <v>40</v>
      </c>
      <c r="Y14" s="577" t="s">
        <v>198</v>
      </c>
      <c r="Z14" s="584"/>
      <c r="AA14" s="34"/>
      <c r="AB14" s="109"/>
      <c r="AE14" s="109"/>
      <c r="AF14" s="126"/>
    </row>
    <row r="15" spans="1:33" ht="14.1" customHeight="1" thickBot="1" x14ac:dyDescent="0.25">
      <c r="A15" s="63"/>
      <c r="B15" s="30"/>
      <c r="C15" s="30"/>
      <c r="D15" s="30"/>
      <c r="E15" s="30"/>
      <c r="F15" s="135"/>
      <c r="G15" s="135"/>
      <c r="H15" s="383"/>
      <c r="I15" s="384"/>
      <c r="K15" s="153"/>
      <c r="L15" s="312"/>
      <c r="M15" s="154"/>
      <c r="N15" s="154"/>
      <c r="O15" s="427" t="s">
        <v>205</v>
      </c>
      <c r="P15" s="428">
        <v>20</v>
      </c>
      <c r="Q15" s="429">
        <v>179700</v>
      </c>
      <c r="R15" s="154"/>
      <c r="S15" s="430">
        <f t="shared" si="0"/>
        <v>14975</v>
      </c>
      <c r="T15" s="621" t="s">
        <v>216</v>
      </c>
      <c r="U15" s="512" t="s">
        <v>187</v>
      </c>
      <c r="V15" s="513" t="s">
        <v>188</v>
      </c>
      <c r="W15" s="514" t="s">
        <v>189</v>
      </c>
      <c r="X15" s="513" t="s">
        <v>193</v>
      </c>
      <c r="Y15" s="513" t="s">
        <v>194</v>
      </c>
      <c r="Z15" s="582" t="s">
        <v>196</v>
      </c>
      <c r="AA15" s="34"/>
      <c r="AB15" s="109"/>
      <c r="AE15" s="109"/>
      <c r="AF15" s="126"/>
    </row>
    <row r="16" spans="1:33" ht="14.1" customHeight="1" x14ac:dyDescent="0.2">
      <c r="A16" s="63"/>
      <c r="B16" s="30"/>
      <c r="C16" s="30"/>
      <c r="D16" s="30"/>
      <c r="E16" s="30"/>
      <c r="F16" s="135"/>
      <c r="G16" s="135"/>
      <c r="H16" s="383"/>
      <c r="I16" s="384"/>
      <c r="K16" s="425"/>
      <c r="L16" s="419"/>
      <c r="M16" s="420"/>
      <c r="N16" s="420"/>
      <c r="O16" s="427" t="s">
        <v>176</v>
      </c>
      <c r="P16" s="428">
        <v>21</v>
      </c>
      <c r="Q16" s="429">
        <v>221000</v>
      </c>
      <c r="R16" s="154"/>
      <c r="S16" s="430">
        <f t="shared" si="0"/>
        <v>18416.666666666668</v>
      </c>
      <c r="T16" s="585"/>
      <c r="U16" s="585"/>
      <c r="V16" s="586"/>
      <c r="W16" s="603"/>
      <c r="X16" s="586"/>
      <c r="Y16" s="603"/>
      <c r="Z16" s="587"/>
      <c r="AA16" s="34"/>
      <c r="AB16" s="109"/>
      <c r="AE16" s="109"/>
      <c r="AF16" s="126"/>
    </row>
    <row r="17" spans="1:33" ht="14.1" customHeight="1" x14ac:dyDescent="0.2">
      <c r="A17" s="63"/>
      <c r="B17" s="30"/>
      <c r="C17" s="30"/>
      <c r="D17" s="30"/>
      <c r="E17" s="30"/>
      <c r="F17" s="135"/>
      <c r="G17" s="135"/>
      <c r="H17" s="383"/>
      <c r="I17" s="384"/>
      <c r="K17" s="153"/>
      <c r="L17" s="312"/>
      <c r="M17" s="154"/>
      <c r="N17" s="154"/>
      <c r="O17" s="427" t="s">
        <v>204</v>
      </c>
      <c r="P17" s="428">
        <v>22</v>
      </c>
      <c r="Q17" s="429">
        <v>181500</v>
      </c>
      <c r="R17" s="154"/>
      <c r="S17" s="430">
        <f t="shared" si="0"/>
        <v>15125</v>
      </c>
      <c r="T17" s="585"/>
      <c r="U17" s="585"/>
      <c r="V17" s="586"/>
      <c r="W17" s="603"/>
      <c r="X17" s="586"/>
      <c r="Y17" s="603"/>
      <c r="Z17" s="587"/>
      <c r="AA17" s="34"/>
      <c r="AB17" s="109"/>
      <c r="AE17" s="109"/>
      <c r="AF17" s="126"/>
    </row>
    <row r="18" spans="1:33" ht="14.1" customHeight="1" x14ac:dyDescent="0.2">
      <c r="A18" s="63"/>
      <c r="B18" s="30"/>
      <c r="C18" s="30"/>
      <c r="D18" s="30"/>
      <c r="E18" s="30"/>
      <c r="F18" s="135"/>
      <c r="G18" s="135"/>
      <c r="H18" s="383"/>
      <c r="I18" s="384"/>
      <c r="K18" s="153"/>
      <c r="L18" s="312"/>
      <c r="M18" s="154"/>
      <c r="N18" s="154"/>
      <c r="O18" s="427" t="s">
        <v>210</v>
      </c>
      <c r="P18" s="428">
        <v>23</v>
      </c>
      <c r="Q18" s="429">
        <v>250000</v>
      </c>
      <c r="R18" s="154"/>
      <c r="S18" s="430">
        <f t="shared" si="0"/>
        <v>20833.333333333332</v>
      </c>
      <c r="T18" s="585"/>
      <c r="U18" s="585"/>
      <c r="V18" s="586"/>
      <c r="W18" s="603"/>
      <c r="X18" s="586"/>
      <c r="Y18" s="603"/>
      <c r="Z18" s="587"/>
      <c r="AA18" s="34"/>
      <c r="AB18" s="109"/>
      <c r="AE18" s="109"/>
      <c r="AF18" s="126"/>
    </row>
    <row r="19" spans="1:33" ht="14.1" customHeight="1" thickBot="1" x14ac:dyDescent="0.25">
      <c r="A19" s="63"/>
      <c r="B19" s="30"/>
      <c r="C19" s="30"/>
      <c r="D19" s="30"/>
      <c r="E19" s="30"/>
      <c r="F19" s="135"/>
      <c r="G19" s="135"/>
      <c r="H19" s="383"/>
      <c r="I19" s="384"/>
      <c r="K19" s="153"/>
      <c r="L19" s="312"/>
      <c r="M19" s="154"/>
      <c r="N19" s="154"/>
      <c r="O19" s="427" t="s">
        <v>209</v>
      </c>
      <c r="P19" s="428">
        <v>24</v>
      </c>
      <c r="Q19" s="429">
        <v>183300</v>
      </c>
      <c r="R19" s="154"/>
      <c r="S19" s="430">
        <f t="shared" si="0"/>
        <v>15275</v>
      </c>
      <c r="T19" s="564"/>
      <c r="U19" s="573"/>
      <c r="V19" s="574"/>
      <c r="W19" s="574"/>
      <c r="X19" s="574"/>
      <c r="Y19" s="574"/>
      <c r="Z19" s="575"/>
      <c r="AA19" s="34"/>
      <c r="AB19" s="109"/>
      <c r="AE19" s="109"/>
      <c r="AF19" s="126"/>
    </row>
    <row r="20" spans="1:33" ht="14.1" customHeight="1" thickBot="1" x14ac:dyDescent="0.25">
      <c r="A20" s="63"/>
      <c r="B20" s="30"/>
      <c r="C20" s="30"/>
      <c r="D20" s="30"/>
      <c r="E20" s="30"/>
      <c r="F20" s="135"/>
      <c r="G20" s="135"/>
      <c r="H20" s="383"/>
      <c r="I20" s="384"/>
      <c r="K20" s="153"/>
      <c r="L20" s="312"/>
      <c r="M20" s="154"/>
      <c r="N20" s="154"/>
      <c r="O20" s="637" t="s">
        <v>217</v>
      </c>
      <c r="P20" s="428">
        <v>25</v>
      </c>
      <c r="Q20" s="429">
        <v>185100</v>
      </c>
      <c r="R20" s="154"/>
      <c r="S20" s="430">
        <f t="shared" ref="S20" si="1">Q20/12</f>
        <v>15425</v>
      </c>
      <c r="T20" s="563"/>
      <c r="U20" s="635" t="s">
        <v>200</v>
      </c>
      <c r="V20" s="636"/>
      <c r="W20" s="577" t="s">
        <v>197</v>
      </c>
      <c r="X20" s="588" t="s">
        <v>40</v>
      </c>
      <c r="Y20" s="577" t="s">
        <v>198</v>
      </c>
      <c r="Z20" s="584"/>
      <c r="AA20" s="34"/>
      <c r="AB20" s="109"/>
      <c r="AE20" s="109"/>
      <c r="AF20" s="126"/>
    </row>
    <row r="21" spans="1:33" ht="14.1" customHeight="1" thickBot="1" x14ac:dyDescent="0.25">
      <c r="A21" s="63"/>
      <c r="B21" s="30"/>
      <c r="C21" s="30"/>
      <c r="D21" s="30"/>
      <c r="E21" s="30"/>
      <c r="F21" s="135"/>
      <c r="G21" s="699"/>
      <c r="H21" s="700"/>
      <c r="I21" s="701"/>
      <c r="K21" s="153"/>
      <c r="L21" s="52"/>
      <c r="M21" s="34"/>
      <c r="N21" s="34"/>
      <c r="O21" s="385"/>
      <c r="P21" s="387"/>
      <c r="Q21" s="87"/>
      <c r="R21" s="34"/>
      <c r="S21" s="386"/>
      <c r="T21" s="621" t="s">
        <v>216</v>
      </c>
      <c r="U21" s="512" t="s">
        <v>187</v>
      </c>
      <c r="V21" s="513" t="s">
        <v>188</v>
      </c>
      <c r="W21" s="514" t="s">
        <v>189</v>
      </c>
      <c r="X21" s="513" t="s">
        <v>193</v>
      </c>
      <c r="Y21" s="513" t="s">
        <v>194</v>
      </c>
      <c r="Z21" s="582" t="s">
        <v>196</v>
      </c>
      <c r="AA21" s="34"/>
      <c r="AB21" s="109"/>
      <c r="AE21" s="109"/>
      <c r="AF21" s="126"/>
    </row>
    <row r="22" spans="1:33" ht="14.1" customHeight="1" x14ac:dyDescent="0.2">
      <c r="A22" s="63"/>
      <c r="B22" s="30"/>
      <c r="C22" s="30"/>
      <c r="D22" s="30"/>
      <c r="E22" s="30"/>
      <c r="F22" s="135" t="s">
        <v>79</v>
      </c>
      <c r="G22" s="702"/>
      <c r="H22" s="703"/>
      <c r="I22" s="704"/>
      <c r="K22" s="154"/>
      <c r="L22" s="34"/>
      <c r="M22" s="34"/>
      <c r="N22" s="34"/>
      <c r="O22" s="71"/>
      <c r="P22" s="135" t="s">
        <v>69</v>
      </c>
      <c r="Q22" s="131" t="str">
        <f>IF(OR(Q33&gt;Fed_Limit,Q34&gt;Fed_Limit,Q35&gt;Fed_Limit,Q36&gt;Fed_Limit),"Yes","No")</f>
        <v>No</v>
      </c>
      <c r="R22" s="131"/>
      <c r="S22" s="79"/>
      <c r="T22" s="585"/>
      <c r="U22" s="627"/>
      <c r="V22" s="628"/>
      <c r="W22" s="623"/>
      <c r="X22" s="628"/>
      <c r="Y22" s="623"/>
      <c r="Z22" s="629"/>
      <c r="AA22" s="131"/>
      <c r="AC22" s="668" t="s">
        <v>36</v>
      </c>
      <c r="AD22" s="670"/>
      <c r="AE22" s="668" t="s">
        <v>34</v>
      </c>
      <c r="AF22" s="669"/>
      <c r="AG22" s="670"/>
    </row>
    <row r="23" spans="1:33" ht="14.1" customHeight="1" thickBot="1" x14ac:dyDescent="0.25">
      <c r="A23" s="148"/>
      <c r="B23" s="496"/>
      <c r="C23" s="496"/>
      <c r="D23" s="496"/>
      <c r="E23" s="36"/>
      <c r="F23" s="36"/>
      <c r="G23" s="36"/>
      <c r="H23" s="36"/>
      <c r="I23" s="36"/>
      <c r="J23" s="36"/>
      <c r="K23" s="36"/>
      <c r="L23" s="36"/>
      <c r="M23" s="36"/>
      <c r="N23" s="36"/>
      <c r="O23" s="36"/>
      <c r="P23" s="36"/>
      <c r="Q23" s="36"/>
      <c r="R23" s="36"/>
      <c r="S23" s="51"/>
      <c r="T23" s="585"/>
      <c r="U23" s="630"/>
      <c r="V23" s="620"/>
      <c r="W23" s="605"/>
      <c r="X23" s="620"/>
      <c r="Y23" s="605"/>
      <c r="Z23" s="606"/>
      <c r="AA23" s="34"/>
      <c r="AC23" s="122"/>
      <c r="AD23" s="102"/>
      <c r="AE23" s="101"/>
      <c r="AF23" s="101"/>
      <c r="AG23" s="102"/>
    </row>
    <row r="24" spans="1:33"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562"/>
      <c r="U24" s="624"/>
      <c r="V24" s="625"/>
      <c r="W24" s="625"/>
      <c r="X24" s="625"/>
      <c r="Y24" s="625"/>
      <c r="Z24" s="626"/>
      <c r="AA24" s="34"/>
      <c r="AC24" s="122"/>
      <c r="AD24" s="102"/>
      <c r="AE24" s="101"/>
      <c r="AF24" s="101"/>
      <c r="AG24" s="102"/>
    </row>
    <row r="25" spans="1:33" ht="14.25" customHeight="1" thickBot="1" x14ac:dyDescent="0.25">
      <c r="A25" s="245"/>
      <c r="B25" s="401"/>
      <c r="C25" s="401"/>
      <c r="D25" s="401"/>
      <c r="E25" s="34"/>
      <c r="G25" s="55" t="s">
        <v>64</v>
      </c>
      <c r="H25" s="34"/>
      <c r="I25" s="34"/>
      <c r="J25" s="457"/>
      <c r="K25" s="34"/>
      <c r="L25" s="34"/>
      <c r="M25" s="457"/>
      <c r="N25" s="34"/>
      <c r="O25" s="34"/>
      <c r="P25" s="34"/>
      <c r="Q25" s="50"/>
      <c r="R25" s="34"/>
      <c r="S25" s="34"/>
      <c r="T25" s="131"/>
      <c r="U25" s="635" t="s">
        <v>215</v>
      </c>
      <c r="V25" s="604"/>
      <c r="W25" s="578" t="s">
        <v>197</v>
      </c>
      <c r="X25" s="589" t="s">
        <v>40</v>
      </c>
      <c r="Y25" s="580" t="s">
        <v>198</v>
      </c>
      <c r="Z25" s="581"/>
      <c r="AA25" s="34"/>
      <c r="AC25" s="122"/>
      <c r="AD25" s="102"/>
      <c r="AE25" s="101"/>
      <c r="AF25" s="101"/>
      <c r="AG25" s="102"/>
    </row>
    <row r="26" spans="1:33" ht="14.25" customHeight="1" thickBot="1" x14ac:dyDescent="0.25">
      <c r="A26" s="63"/>
      <c r="B26" s="30"/>
      <c r="C26" s="30"/>
      <c r="D26" s="30"/>
      <c r="E26" s="401"/>
      <c r="G26" s="55"/>
      <c r="H26" s="480"/>
      <c r="I26" s="315" t="s">
        <v>80</v>
      </c>
      <c r="J26" s="135" t="s">
        <v>0</v>
      </c>
      <c r="K26" s="618">
        <f>IF(ISERROR(IF(H29="",H26/M37,H29)),0,IF(H29="",H26/M37,H29))</f>
        <v>0</v>
      </c>
      <c r="L26" s="457"/>
      <c r="M26" s="490"/>
      <c r="N26" s="491"/>
      <c r="O26" s="492"/>
      <c r="P26" s="34"/>
      <c r="Q26" s="472"/>
      <c r="R26" s="34"/>
      <c r="S26" s="34"/>
      <c r="T26" s="621" t="s">
        <v>216</v>
      </c>
      <c r="U26" s="631" t="s">
        <v>187</v>
      </c>
      <c r="V26" s="513" t="s">
        <v>188</v>
      </c>
      <c r="W26" s="514" t="s">
        <v>189</v>
      </c>
      <c r="X26" s="513" t="s">
        <v>193</v>
      </c>
      <c r="Y26" s="513" t="s">
        <v>194</v>
      </c>
      <c r="Z26" s="582" t="s">
        <v>196</v>
      </c>
      <c r="AA26" s="34"/>
      <c r="AC26" s="122"/>
      <c r="AD26" s="102"/>
      <c r="AE26" s="101"/>
      <c r="AF26" s="101"/>
      <c r="AG26" s="102"/>
    </row>
    <row r="27" spans="1:33" ht="14.25" customHeight="1" x14ac:dyDescent="0.2">
      <c r="A27" s="245"/>
      <c r="B27" s="401"/>
      <c r="C27" s="401"/>
      <c r="D27" s="401"/>
      <c r="E27" s="246"/>
      <c r="G27" s="34"/>
      <c r="H27" s="493" t="str">
        <f>IF(H26&lt;&gt;Q36,"Annual Salary entered is less than the minimum for the scale and Base Entered.  See minimum in Cell N35 for minimum annual rate OR change the scale and/or base rate","")</f>
        <v/>
      </c>
      <c r="I27" s="34"/>
      <c r="J27" s="34"/>
      <c r="K27" s="34"/>
      <c r="L27" s="457"/>
      <c r="M27" s="452"/>
      <c r="N27" s="457"/>
      <c r="O27" s="457"/>
      <c r="P27" s="457"/>
      <c r="Q27" s="474"/>
      <c r="R27" s="34"/>
      <c r="S27" s="34"/>
      <c r="T27" s="585"/>
      <c r="U27" s="585"/>
      <c r="V27" s="633"/>
      <c r="W27" s="603"/>
      <c r="X27" s="586"/>
      <c r="Y27" s="603"/>
      <c r="Z27" s="587"/>
      <c r="AA27" s="34"/>
      <c r="AC27" s="122"/>
      <c r="AD27" s="102"/>
      <c r="AE27" s="101"/>
      <c r="AF27" s="101"/>
      <c r="AG27" s="102"/>
    </row>
    <row r="28" spans="1:33" ht="13.5" customHeight="1" x14ac:dyDescent="0.2">
      <c r="A28" s="244"/>
      <c r="B28" s="497"/>
      <c r="C28" s="497"/>
      <c r="D28" s="497"/>
      <c r="E28" s="34"/>
      <c r="G28" s="34" t="s">
        <v>65</v>
      </c>
      <c r="H28" s="34"/>
      <c r="I28" s="34"/>
      <c r="J28" s="34"/>
      <c r="K28" s="34"/>
      <c r="L28" s="34"/>
      <c r="M28" s="52"/>
      <c r="N28" s="475"/>
      <c r="O28" s="134"/>
      <c r="P28" s="134"/>
      <c r="Q28" s="50"/>
      <c r="R28" s="34"/>
      <c r="S28" s="34"/>
      <c r="T28" s="585"/>
      <c r="U28" s="632"/>
      <c r="V28" s="603"/>
      <c r="W28" s="586"/>
      <c r="X28" s="603"/>
      <c r="Y28" s="603"/>
      <c r="Z28" s="587"/>
      <c r="AA28" s="34"/>
      <c r="AC28" s="122"/>
      <c r="AD28" s="102"/>
      <c r="AE28" s="101"/>
      <c r="AF28" s="101"/>
      <c r="AG28" s="102"/>
    </row>
    <row r="29" spans="1:33" ht="13.5" customHeight="1" x14ac:dyDescent="0.2">
      <c r="A29" s="63"/>
      <c r="B29" s="30"/>
      <c r="C29" s="30"/>
      <c r="D29" s="30"/>
      <c r="E29" s="34"/>
      <c r="F29" s="34"/>
      <c r="G29" s="34"/>
      <c r="H29" s="391"/>
      <c r="I29" s="206"/>
      <c r="J29" s="34" t="s">
        <v>73</v>
      </c>
      <c r="K29" s="236">
        <f>IF(ISERROR(IF(H26="",H29*M37,H26)),0,IF(H26="",H29*M37,H26))</f>
        <v>0</v>
      </c>
      <c r="L29" s="34"/>
      <c r="M29" s="133"/>
      <c r="N29" s="134"/>
      <c r="O29" s="456"/>
      <c r="P29" s="34"/>
      <c r="Q29" s="50"/>
      <c r="R29" s="34"/>
      <c r="S29" s="34"/>
      <c r="T29" s="585"/>
      <c r="U29" s="586"/>
      <c r="V29" s="634"/>
      <c r="W29" s="603"/>
      <c r="X29" s="603"/>
      <c r="Y29" s="603"/>
      <c r="Z29" s="587"/>
      <c r="AA29" s="34"/>
      <c r="AC29" s="122"/>
      <c r="AD29" s="102"/>
      <c r="AE29" s="101"/>
      <c r="AF29" s="101"/>
      <c r="AG29" s="102"/>
    </row>
    <row r="30" spans="1:33" ht="13.5" thickBot="1" x14ac:dyDescent="0.25">
      <c r="A30" s="148"/>
      <c r="B30" s="496"/>
      <c r="C30" s="496"/>
      <c r="D30" s="496"/>
      <c r="E30" s="210"/>
      <c r="F30" s="210"/>
      <c r="G30" s="210"/>
      <c r="H30" s="235"/>
      <c r="I30" s="36"/>
      <c r="J30" s="36"/>
      <c r="K30" s="36"/>
      <c r="L30" s="36"/>
      <c r="M30" s="36"/>
      <c r="N30" s="36"/>
      <c r="O30" s="36"/>
      <c r="P30" s="36"/>
      <c r="Q30" s="51"/>
      <c r="T30" s="585"/>
      <c r="U30" s="586"/>
      <c r="V30" s="603"/>
      <c r="W30" s="603"/>
      <c r="X30" s="603"/>
      <c r="Y30" s="603"/>
      <c r="Z30" s="587"/>
      <c r="AC30" s="123" t="s">
        <v>32</v>
      </c>
      <c r="AD30" s="103" t="s">
        <v>37</v>
      </c>
      <c r="AE30" s="119" t="s">
        <v>38</v>
      </c>
      <c r="AF30" s="121" t="s">
        <v>35</v>
      </c>
      <c r="AG30" s="120" t="s">
        <v>33</v>
      </c>
    </row>
    <row r="31" spans="1:33" ht="14.25" thickTop="1" thickBot="1" x14ac:dyDescent="0.25">
      <c r="A31" s="63"/>
      <c r="B31" s="30"/>
      <c r="C31" s="30"/>
      <c r="D31" s="30"/>
      <c r="E31" s="34"/>
      <c r="F31" s="143" t="s">
        <v>43</v>
      </c>
      <c r="G31" s="143"/>
      <c r="H31" s="392"/>
      <c r="J31" s="155"/>
      <c r="K31" s="155"/>
      <c r="L31" s="264"/>
      <c r="M31" s="138" t="s">
        <v>42</v>
      </c>
      <c r="N31" s="92"/>
      <c r="O31" s="92"/>
      <c r="P31" s="92"/>
      <c r="Q31" s="139"/>
      <c r="R31" s="85" t="s">
        <v>40</v>
      </c>
      <c r="S31" s="85"/>
      <c r="T31" s="585"/>
      <c r="U31" s="620"/>
      <c r="V31" s="605"/>
      <c r="W31" s="605"/>
      <c r="X31" s="605"/>
      <c r="Y31" s="605"/>
      <c r="Z31" s="606"/>
      <c r="AA31" s="85"/>
      <c r="AC31" s="112"/>
      <c r="AD31" s="105">
        <f t="array" ref="AD31">SUM(IF($A$42:$A$62&lt;&gt;"x",$M$42:$M$62,0))</f>
        <v>0</v>
      </c>
      <c r="AE31" s="237">
        <f>AD31*$Q$36</f>
        <v>0</v>
      </c>
      <c r="AF31" s="237">
        <f>AL84*Fed_Limit</f>
        <v>0</v>
      </c>
      <c r="AG31" s="83">
        <f>AM84*12</f>
        <v>0</v>
      </c>
    </row>
    <row r="32" spans="1:33" ht="15" x14ac:dyDescent="0.25">
      <c r="A32" s="63"/>
      <c r="B32" s="30"/>
      <c r="C32" s="30"/>
      <c r="D32" s="30"/>
      <c r="E32" s="34"/>
      <c r="F32" s="135" t="s">
        <v>1</v>
      </c>
      <c r="G32" s="135"/>
      <c r="H32" s="393"/>
      <c r="K32" s="156"/>
      <c r="L32" s="55"/>
      <c r="M32" s="413" t="s">
        <v>134</v>
      </c>
      <c r="N32" s="56" t="s">
        <v>3</v>
      </c>
      <c r="O32" s="56" t="s">
        <v>4</v>
      </c>
      <c r="P32" s="56" t="s">
        <v>5</v>
      </c>
      <c r="Q32" s="57" t="s">
        <v>6</v>
      </c>
      <c r="R32" s="131"/>
      <c r="S32" s="131"/>
      <c r="T32" s="131"/>
      <c r="U32" s="131"/>
      <c r="V32" s="131"/>
      <c r="W32" s="131"/>
      <c r="X32" s="131"/>
      <c r="Y32" s="131"/>
      <c r="Z32" s="131"/>
      <c r="AA32" s="131"/>
      <c r="AC32" s="113" t="s">
        <v>3</v>
      </c>
      <c r="AD32" s="106">
        <f t="array" ref="AD32">SUM(IF($A$42:$A$62&lt;&gt;"x",$N$42:$N$62,0))</f>
        <v>0</v>
      </c>
      <c r="AE32" s="238">
        <f>AD32*$Q$36</f>
        <v>0</v>
      </c>
      <c r="AF32" s="238">
        <f>AL85*Fed_Limit</f>
        <v>0</v>
      </c>
      <c r="AG32" s="98">
        <f>AM85*12</f>
        <v>0</v>
      </c>
    </row>
    <row r="33" spans="1:37" x14ac:dyDescent="0.2">
      <c r="A33" s="270"/>
      <c r="B33" s="55"/>
      <c r="C33" s="55"/>
      <c r="D33" s="55"/>
      <c r="E33" s="55"/>
      <c r="F33" s="385"/>
      <c r="G33" s="385"/>
      <c r="H33" s="483"/>
      <c r="I33" s="250" t="s">
        <v>80</v>
      </c>
      <c r="J33" s="476"/>
      <c r="K33" s="156"/>
      <c r="L33" s="55"/>
      <c r="M33" s="265">
        <f>IF(Instructor="",0,VLOOKUP(Instructor,Instr_Range,2))</f>
        <v>0</v>
      </c>
      <c r="N33" s="38">
        <f>SUM(Instr_Tot_HST)</f>
        <v>0</v>
      </c>
      <c r="O33" s="38">
        <f>IF(Scale&gt;=4,SUM(Instr_Tot_HSR),0)</f>
        <v>0</v>
      </c>
      <c r="P33" s="38">
        <f>((Q33-(Instr_base+SUM(Instr_Tot_HST)+SUM(Instr_Tot_HSR))))</f>
        <v>0</v>
      </c>
      <c r="Q33" s="230">
        <f>M33*K26</f>
        <v>0</v>
      </c>
      <c r="R33" s="131"/>
      <c r="S33" s="131"/>
      <c r="T33" s="131"/>
      <c r="U33" s="131"/>
      <c r="V33" s="131"/>
      <c r="W33" s="131"/>
      <c r="X33" s="131"/>
      <c r="Y33" s="131"/>
      <c r="Z33" s="131"/>
      <c r="AA33" s="131"/>
      <c r="AC33" s="113"/>
      <c r="AD33" s="106"/>
      <c r="AE33" s="238"/>
      <c r="AF33" s="238"/>
      <c r="AG33" s="98"/>
    </row>
    <row r="34" spans="1:37" x14ac:dyDescent="0.2">
      <c r="A34" s="63"/>
      <c r="B34" s="30"/>
      <c r="C34" s="30"/>
      <c r="D34" s="30"/>
      <c r="E34" s="34"/>
      <c r="F34" s="385"/>
      <c r="G34" s="385"/>
      <c r="H34" s="484"/>
      <c r="I34" s="156"/>
      <c r="J34" s="477"/>
      <c r="K34" s="156"/>
      <c r="L34" s="55"/>
      <c r="M34" s="37">
        <f>IF(Assistant="",0,VLOOKUP(Assistant,Asst_Prof,2))</f>
        <v>0</v>
      </c>
      <c r="N34" s="38">
        <f>SUM(Asst_Tot_HST)</f>
        <v>0</v>
      </c>
      <c r="O34" s="38">
        <f>IF(Scale&gt;=4,SUM(Asst_Tot_HSR),0)</f>
        <v>0</v>
      </c>
      <c r="P34" s="38">
        <f>((Q34-(Asst_Base+SUM(Asst_Tot_HST)+SUM(Asst_Tot_HSR))))</f>
        <v>0</v>
      </c>
      <c r="Q34" s="230">
        <f>M34*K26</f>
        <v>0</v>
      </c>
      <c r="R34" s="48"/>
      <c r="S34" s="48"/>
      <c r="T34" s="48"/>
      <c r="U34" s="48"/>
      <c r="V34" s="48"/>
      <c r="W34" s="48"/>
      <c r="X34" s="48"/>
      <c r="Y34" s="159"/>
      <c r="Z34" s="149"/>
      <c r="AA34" s="48"/>
      <c r="AC34" s="113" t="s">
        <v>4</v>
      </c>
      <c r="AD34" s="106">
        <f t="array" ref="AD34">SUM(IF($A$42:$A$62&lt;&gt;"x",$O$42:$O$62,0))</f>
        <v>0</v>
      </c>
      <c r="AE34" s="238">
        <f>AD34*$Q$36</f>
        <v>0</v>
      </c>
      <c r="AF34" s="238">
        <f>AL86*Fed_Limit</f>
        <v>0</v>
      </c>
      <c r="AG34" s="98">
        <f>AM86*12</f>
        <v>0</v>
      </c>
    </row>
    <row r="35" spans="1:37" x14ac:dyDescent="0.2">
      <c r="A35" s="63"/>
      <c r="B35" s="30"/>
      <c r="C35" s="30"/>
      <c r="D35" s="30"/>
      <c r="E35" s="34"/>
      <c r="F35" s="385"/>
      <c r="G35" s="385"/>
      <c r="H35" s="485"/>
      <c r="I35" s="156"/>
      <c r="J35" s="477"/>
      <c r="K35" s="156"/>
      <c r="L35" s="55"/>
      <c r="M35" s="37">
        <f>IF(Associate= "",0,VLOOKUP(Associate,Assoc_Prof,2))</f>
        <v>0</v>
      </c>
      <c r="N35" s="38">
        <f>SUM(Assoc_Tot_HST)</f>
        <v>0</v>
      </c>
      <c r="O35" s="38">
        <f>IF(Scale&gt;=4,SUM(Assoc_Tot_HSR),0)</f>
        <v>0</v>
      </c>
      <c r="P35" s="38">
        <f>(Q35-(Assoc_Base+SUM(Assoc_Tot_HST)+SUM(Assoc_Tot_HSR)))</f>
        <v>0</v>
      </c>
      <c r="Q35" s="230">
        <f>M35*K26</f>
        <v>0</v>
      </c>
      <c r="R35" s="48"/>
      <c r="S35" s="48"/>
      <c r="T35" s="48"/>
      <c r="U35" s="48"/>
      <c r="V35" s="48"/>
      <c r="W35" s="48"/>
      <c r="X35" s="48"/>
      <c r="Y35" s="48"/>
      <c r="Z35" s="48"/>
      <c r="AA35" s="48"/>
      <c r="AC35" s="114" t="s">
        <v>5</v>
      </c>
      <c r="AD35" s="107">
        <f t="array" ref="AD35">SUM(IF($A$42:$A$62&lt;&gt;"x",$P$42:$P$62,0))</f>
        <v>0</v>
      </c>
      <c r="AE35" s="239">
        <f>AD35*$Q$36</f>
        <v>0</v>
      </c>
      <c r="AF35" s="239">
        <f>AL87*Fed_Limit</f>
        <v>0</v>
      </c>
      <c r="AG35" s="100">
        <f>AM87*12</f>
        <v>0</v>
      </c>
    </row>
    <row r="36" spans="1:37" ht="13.5" thickBot="1" x14ac:dyDescent="0.25">
      <c r="A36" s="148"/>
      <c r="B36" s="496"/>
      <c r="C36" s="496"/>
      <c r="D36" s="496"/>
      <c r="E36" s="36"/>
      <c r="F36" s="158" t="s">
        <v>74</v>
      </c>
      <c r="G36" s="158"/>
      <c r="H36" s="458"/>
      <c r="I36" s="157"/>
      <c r="J36" s="478"/>
      <c r="K36" s="157"/>
      <c r="L36" s="60"/>
      <c r="M36" s="334">
        <f>ROUND(Prof_Above,-2)</f>
        <v>0</v>
      </c>
      <c r="N36" s="451">
        <f>ROUND(IF(Prof_Base_Above=181700,VLOOKUP(Scale_Above,Above_Scale_Minimum,3,FALSE),(IF(Scale_Above=0,0,IF(Scale_Above=1,Prof_Base_Above*0.1,IF(Scale_Above=2,Prof_Base_Above*0.2,IF(Scale_Above&gt;=3,Prof_Base_Above*0.3)))))),-2)</f>
        <v>0</v>
      </c>
      <c r="O36" s="451">
        <f>ROUND(IF(Prof_Base_Above=181700,VLOOKUP(Scale_Above,Above_Scale_Minimum,4,FALSE),IF(Scale_Above&lt;=3,0,IF(Scale_Above=4,Prof_Base_Above*0.4-Prof_Base_Above*0.3,IF(Scale_Above=5,Prof_Base_Above*0.5-Prof_Base_Above*0.3,IF(Scale_Above=6,Prof_Base_Above*0.65-Prof_Base_Above*0.3,IF(Scale_Above=7,Prof_Base_Above*0.8-Prof_Base_Above*0.3,IF(Scale_Above=8,Prof_Base_Above*2-Prof_Base_Above*0.3,IF(Scale_Above=9,Prof_Base_Above*2.25-Prof_Base_Above*0.3)))))))),-2)</f>
        <v>0</v>
      </c>
      <c r="P36" s="335">
        <f>IF(SUM(H26-Prof_Base_Above-N36-O36)&gt;0,(SUM(H26-N36-O36-Prof_Base_Above)),0)</f>
        <v>0</v>
      </c>
      <c r="Q36" s="488">
        <f>SUM(M36:P36)</f>
        <v>0</v>
      </c>
      <c r="R36" s="129"/>
      <c r="S36" s="129"/>
      <c r="T36" s="129"/>
      <c r="U36" s="129"/>
      <c r="V36" s="129"/>
      <c r="W36" s="129"/>
      <c r="X36" s="129"/>
      <c r="Y36" s="129"/>
      <c r="Z36" s="129"/>
      <c r="AA36" s="129"/>
      <c r="AC36" s="124" t="s">
        <v>6</v>
      </c>
      <c r="AD36" s="125">
        <f>SUM(AD31:AD35)</f>
        <v>0</v>
      </c>
      <c r="AE36" s="118">
        <f>SUM(AE31:AE35)</f>
        <v>0</v>
      </c>
      <c r="AF36" s="118">
        <f>SUM(AF31:AF35)</f>
        <v>0</v>
      </c>
      <c r="AG36" s="104">
        <f>SUM(AG31:AG35)</f>
        <v>0</v>
      </c>
    </row>
    <row r="37" spans="1:37" ht="13.5" thickTop="1" x14ac:dyDescent="0.2">
      <c r="F37" s="34"/>
      <c r="G37" s="34"/>
      <c r="H37" s="34"/>
      <c r="I37" s="34"/>
      <c r="J37" s="34"/>
      <c r="K37" s="80"/>
      <c r="L37" s="227" t="s">
        <v>70</v>
      </c>
      <c r="M37" s="228">
        <f>SUM(M33:M36)</f>
        <v>0</v>
      </c>
      <c r="N37" s="228">
        <f>SUM(N33:N36)</f>
        <v>0</v>
      </c>
      <c r="O37" s="228">
        <f>SUM(O33:O36)</f>
        <v>0</v>
      </c>
      <c r="P37" s="228">
        <f>SUM(P33:P36)</f>
        <v>0</v>
      </c>
      <c r="Q37" s="489">
        <f>SUM(M37:P37)</f>
        <v>0</v>
      </c>
      <c r="R37" s="48"/>
      <c r="S37" s="48"/>
      <c r="T37" s="48"/>
      <c r="U37" s="48"/>
      <c r="V37" s="48"/>
      <c r="W37" s="48"/>
      <c r="X37" s="48"/>
      <c r="Y37" s="48"/>
      <c r="Z37" s="48"/>
      <c r="AA37" s="48"/>
      <c r="AC37" s="8" t="s">
        <v>6</v>
      </c>
      <c r="AD37" s="108"/>
      <c r="AE37" s="99"/>
      <c r="AF37" s="100"/>
      <c r="AG37" s="104"/>
    </row>
    <row r="38" spans="1:37" x14ac:dyDescent="0.2">
      <c r="E38" s="252"/>
      <c r="F38" s="34"/>
      <c r="G38" s="34"/>
      <c r="H38" s="34"/>
      <c r="I38" s="34"/>
      <c r="J38" s="34"/>
      <c r="K38" s="61"/>
      <c r="L38" s="226" t="s">
        <v>71</v>
      </c>
      <c r="M38" s="229">
        <f>M37/12</f>
        <v>0</v>
      </c>
      <c r="N38" s="229">
        <f>N37/12</f>
        <v>0</v>
      </c>
      <c r="O38" s="229">
        <f>O37/12</f>
        <v>0</v>
      </c>
      <c r="P38" s="229">
        <f>P37/12</f>
        <v>0</v>
      </c>
      <c r="Q38" s="229">
        <f>Q37/12</f>
        <v>0</v>
      </c>
      <c r="R38" s="241"/>
      <c r="S38" s="241"/>
      <c r="T38" s="241"/>
      <c r="U38" s="241"/>
      <c r="V38" s="241"/>
      <c r="W38" s="241"/>
      <c r="X38" s="241"/>
      <c r="Y38" s="241"/>
      <c r="Z38" s="241"/>
      <c r="AA38" s="241"/>
      <c r="AB38" s="241"/>
      <c r="AC38" s="241"/>
      <c r="AD38" s="241"/>
      <c r="AE38" s="241"/>
      <c r="AF38" s="241"/>
      <c r="AG38" s="241"/>
      <c r="AH38" s="48"/>
      <c r="AI38" s="48"/>
      <c r="AJ38" s="48"/>
      <c r="AK38" s="129"/>
    </row>
    <row r="39" spans="1:37" ht="13.5" thickBot="1" x14ac:dyDescent="0.25">
      <c r="A39" s="251" t="s">
        <v>80</v>
      </c>
      <c r="B39" s="251"/>
      <c r="C39" s="251"/>
      <c r="D39" s="251"/>
      <c r="J39" s="354"/>
      <c r="L39" s="352" t="s">
        <v>116</v>
      </c>
      <c r="M39" s="479">
        <f>ROUND(IF(Q37&gt;0,M37/Q37*H31,0),4)</f>
        <v>0</v>
      </c>
      <c r="N39" s="471">
        <f>ROUND(IF(Q37=0,0,IF(N37/Q37+M39&gt;Q39,Q39-M39,IF(Q37&gt;0,N37/Q37*H31))),4)</f>
        <v>0</v>
      </c>
      <c r="O39" s="471">
        <f>ROUND(IF(Q37=0,0,IF((O37/Q37)+M39+N39&gt;H31,H31-M39-N39,IF(Q37&gt;0,O37/Q37*H31,0))),4)</f>
        <v>0</v>
      </c>
      <c r="P39" s="473">
        <f>SUM(Q39-O39-N39-M39)</f>
        <v>0</v>
      </c>
      <c r="Q39" s="353">
        <f>H31</f>
        <v>0</v>
      </c>
      <c r="X39" s="136"/>
      <c r="Y39" s="136"/>
      <c r="Z39" s="136"/>
      <c r="AA39" s="136"/>
      <c r="AB39" s="136"/>
      <c r="AC39" s="136"/>
      <c r="AD39" s="136"/>
      <c r="AE39" s="136"/>
      <c r="AF39" s="136"/>
      <c r="AK39" s="53"/>
    </row>
    <row r="40" spans="1:37" ht="13.5" thickBot="1" x14ac:dyDescent="0.25">
      <c r="A40" s="501" t="s">
        <v>49</v>
      </c>
      <c r="B40" s="505"/>
      <c r="C40" s="505"/>
      <c r="D40" s="505"/>
      <c r="E40" s="506"/>
      <c r="F40" s="507"/>
      <c r="G40" s="508"/>
      <c r="H40" s="509"/>
      <c r="I40" s="367"/>
      <c r="J40" s="367"/>
      <c r="K40" s="367"/>
      <c r="L40" s="510"/>
      <c r="M40" s="144" t="s">
        <v>7</v>
      </c>
      <c r="N40" s="10"/>
      <c r="O40" s="10"/>
      <c r="P40" s="11"/>
      <c r="Q40" s="19"/>
      <c r="R40" s="34"/>
      <c r="S40" s="341" t="s">
        <v>86</v>
      </c>
      <c r="T40" s="10"/>
      <c r="U40" s="10"/>
      <c r="V40" s="10"/>
      <c r="W40" s="11"/>
      <c r="X40" s="85"/>
      <c r="Y40" s="85"/>
      <c r="Z40" s="85"/>
      <c r="AA40" s="132" t="s">
        <v>40</v>
      </c>
      <c r="AB40" s="85"/>
      <c r="AC40" s="4"/>
      <c r="AD40" s="6"/>
      <c r="AE40" s="6"/>
      <c r="AF40" s="5"/>
    </row>
    <row r="41" spans="1:37" ht="40.5" customHeight="1" thickBot="1" x14ac:dyDescent="0.25">
      <c r="A41" s="502" t="s">
        <v>46</v>
      </c>
      <c r="B41" s="512" t="s">
        <v>187</v>
      </c>
      <c r="C41" s="513" t="s">
        <v>188</v>
      </c>
      <c r="D41" s="514" t="s">
        <v>189</v>
      </c>
      <c r="E41" s="513" t="s">
        <v>190</v>
      </c>
      <c r="F41" s="513" t="s">
        <v>191</v>
      </c>
      <c r="G41" s="513" t="s">
        <v>192</v>
      </c>
      <c r="H41" s="515" t="s">
        <v>50</v>
      </c>
      <c r="I41" s="516" t="s">
        <v>47</v>
      </c>
      <c r="J41" s="516" t="s">
        <v>88</v>
      </c>
      <c r="K41" s="516" t="s">
        <v>87</v>
      </c>
      <c r="L41" s="517" t="s">
        <v>48</v>
      </c>
      <c r="M41" s="414" t="s">
        <v>135</v>
      </c>
      <c r="N41" s="58" t="s">
        <v>3</v>
      </c>
      <c r="O41" s="58" t="s">
        <v>4</v>
      </c>
      <c r="P41" s="59" t="s">
        <v>5</v>
      </c>
      <c r="Q41" s="559" t="s">
        <v>9</v>
      </c>
      <c r="R41" s="132"/>
      <c r="S41" s="415" t="s">
        <v>136</v>
      </c>
      <c r="T41" s="58" t="s">
        <v>16</v>
      </c>
      <c r="U41" s="58" t="s">
        <v>41</v>
      </c>
      <c r="V41" s="416" t="s">
        <v>17</v>
      </c>
      <c r="W41" s="500" t="s">
        <v>6</v>
      </c>
      <c r="X41" s="131"/>
      <c r="Y41" s="131"/>
      <c r="Z41" s="131"/>
      <c r="AC41" s="4" t="s">
        <v>11</v>
      </c>
      <c r="AD41" s="6"/>
      <c r="AE41" s="6"/>
      <c r="AF41" s="5"/>
    </row>
    <row r="42" spans="1:37" ht="2.25" customHeight="1" thickBot="1" x14ac:dyDescent="0.25">
      <c r="A42" s="162"/>
      <c r="B42" s="93"/>
      <c r="C42" s="93"/>
      <c r="D42" s="511"/>
      <c r="E42" s="34"/>
      <c r="F42" s="34"/>
      <c r="G42" s="34"/>
      <c r="H42" s="34"/>
      <c r="I42" s="34"/>
      <c r="J42" s="34"/>
      <c r="K42" s="34"/>
      <c r="L42" s="146"/>
      <c r="M42" s="165"/>
      <c r="N42" s="166"/>
      <c r="O42" s="166"/>
      <c r="P42" s="166"/>
      <c r="Q42" s="55"/>
      <c r="R42" s="55"/>
      <c r="S42" s="442"/>
      <c r="T42" s="217"/>
      <c r="U42" s="217"/>
      <c r="V42" s="217"/>
      <c r="W42" s="272"/>
      <c r="X42" s="55"/>
      <c r="Y42" s="55"/>
      <c r="Z42" s="55"/>
      <c r="AA42" s="1"/>
    </row>
    <row r="43" spans="1:37" x14ac:dyDescent="0.2">
      <c r="A43" s="503"/>
      <c r="B43" s="518"/>
      <c r="C43" s="518"/>
      <c r="D43" s="519"/>
      <c r="E43" s="520"/>
      <c r="F43" s="521"/>
      <c r="G43" s="519"/>
      <c r="H43" s="391"/>
      <c r="I43" s="396"/>
      <c r="J43" s="397"/>
      <c r="K43" s="161">
        <f t="shared" ref="K43:K62" si="2">IF(ISERROR(IF(A43="",L43*(Annual_Salary/12),L43*(VLOOKUP(A43,SalaryLimits,2,FALSE))/12)),0,IF(A43="",L43*(Annual_Salary/12),L43*(VLOOKUP(A43,SalaryLimits,2,FALSE))/12))</f>
        <v>0</v>
      </c>
      <c r="L43" s="332">
        <f t="shared" ref="L43:L62" si="3">IF(ISERROR(ROUND(IF(AND(I43="",A43=""),J43/(Annual_Salary/12),IF(AND(I43="",A43&lt;&gt;""),J43/(VLOOKUP(A43,SalaryLimits,2,FALSE)/12),I43)),4)),0,ROUND(IF(AND(I43="",A43=""),J43/(Annual_Salary/12),IF(AND(I43="",A43&lt;&gt;""),J43/(VLOOKUP(A43,SalaryLimits,2,FALSE)/12),I43)),4))</f>
        <v>0</v>
      </c>
      <c r="M43" s="163">
        <f t="shared" ref="M43:M62" si="4">IF(ISERROR(IF(L43&lt;M79,L43,M79)),0,IF(L43&lt;M79,L43,M79))</f>
        <v>0</v>
      </c>
      <c r="N43" s="114">
        <f t="shared" ref="N43:N62" si="5">IF(ISERROR(IF(AC43&lt;N79,AC43,N79)),0,IF(AC43&lt;N79,AC43,N79))</f>
        <v>0</v>
      </c>
      <c r="O43" s="114">
        <f t="shared" ref="O43:O62" si="6">IF(ISERROR(IF(AD43&lt;O79,AD43,O79)),0,IF(AD43&lt;O79,AD43,O79))</f>
        <v>0</v>
      </c>
      <c r="P43" s="481">
        <f t="shared" ref="P43:P62" si="7">IF(ISERROR(IF(AE43&lt;P79,AE43,P79)),0,IF(AE43&lt;P79,AE43,P79))</f>
        <v>0</v>
      </c>
      <c r="Q43" s="220">
        <f t="shared" ref="Q43:Q62" si="8">SUM(M43:P43)</f>
        <v>0</v>
      </c>
      <c r="R43" s="110"/>
      <c r="S43" s="137">
        <f t="shared" ref="S43:S62" si="9">IF(OR(OverCAP="No",A43=""),0,(M43*(Annual_Salary/12))-(M43*(VLOOKUP(A43,SalaryLimits,2,FALSE)/12)))</f>
        <v>0</v>
      </c>
      <c r="T43" s="137">
        <f t="shared" ref="T43:T62" si="10">IF(OR(OverCAP="No",A43=""),0,(N43*(Annual_Salary/12))-(N43*(VLOOKUP(A43,SalaryLimits,2,FALSE)/12)))</f>
        <v>0</v>
      </c>
      <c r="U43" s="137">
        <f t="shared" ref="U43:U62" si="11">IF(OR(OverCAP="No",A43=""),0,(O43*(Annual_Salary/12))-(O43*(VLOOKUP(A43,SalaryLimits,2,FALSE)/12)))</f>
        <v>0</v>
      </c>
      <c r="V43" s="137">
        <f t="shared" ref="V43:V62" si="12">IF(OR(OverCAP="No",A43=""),0,(P43*(Annual_Salary/12))-(P43*(VLOOKUP(A43,SalaryLimits,2,FALSE)/12)))</f>
        <v>0</v>
      </c>
      <c r="W43" s="336">
        <f t="shared" ref="W43:W62" si="13">SUM(S43:V43)</f>
        <v>0</v>
      </c>
      <c r="X43" s="214"/>
      <c r="Y43" s="214"/>
      <c r="Z43" s="214"/>
      <c r="AA43" s="1"/>
      <c r="AC43" s="67">
        <f t="shared" ref="AC43:AC62" si="14">L43-M43</f>
        <v>0</v>
      </c>
      <c r="AD43" s="68">
        <f t="shared" ref="AD43:AD62" si="15">L43-M43-N43</f>
        <v>0</v>
      </c>
      <c r="AE43" s="69">
        <f t="shared" ref="AE43:AE62" si="16">L43-M43-N43-O43</f>
        <v>0</v>
      </c>
      <c r="AF43" s="68">
        <f t="shared" ref="AF43:AF62" si="17">L43-M43-N43-O43-P43</f>
        <v>0</v>
      </c>
    </row>
    <row r="44" spans="1:37" x14ac:dyDescent="0.2">
      <c r="A44" s="503"/>
      <c r="B44" s="518"/>
      <c r="C44" s="518"/>
      <c r="D44" s="519"/>
      <c r="E44" s="520"/>
      <c r="F44" s="521"/>
      <c r="G44" s="519"/>
      <c r="H44" s="391"/>
      <c r="I44" s="396"/>
      <c r="J44" s="398"/>
      <c r="K44" s="161">
        <f t="shared" si="2"/>
        <v>0</v>
      </c>
      <c r="L44" s="332">
        <f t="shared" si="3"/>
        <v>0</v>
      </c>
      <c r="M44" s="145">
        <f t="shared" si="4"/>
        <v>0</v>
      </c>
      <c r="N44" s="64">
        <f t="shared" si="5"/>
        <v>0</v>
      </c>
      <c r="O44" s="64">
        <f t="shared" si="6"/>
        <v>0</v>
      </c>
      <c r="P44" s="65">
        <f t="shared" si="7"/>
        <v>0</v>
      </c>
      <c r="Q44" s="221">
        <f t="shared" si="8"/>
        <v>0</v>
      </c>
      <c r="R44" s="110"/>
      <c r="S44" s="218">
        <f t="shared" si="9"/>
        <v>0</v>
      </c>
      <c r="T44" s="219">
        <f t="shared" si="10"/>
        <v>0</v>
      </c>
      <c r="U44" s="219">
        <f t="shared" si="11"/>
        <v>0</v>
      </c>
      <c r="V44" s="219">
        <f t="shared" si="12"/>
        <v>0</v>
      </c>
      <c r="W44" s="336">
        <f t="shared" si="13"/>
        <v>0</v>
      </c>
      <c r="X44" s="214"/>
      <c r="Y44" s="214"/>
      <c r="Z44" s="214"/>
      <c r="AA44" s="1"/>
      <c r="AC44" s="67">
        <f t="shared" si="14"/>
        <v>0</v>
      </c>
      <c r="AD44" s="68">
        <f t="shared" si="15"/>
        <v>0</v>
      </c>
      <c r="AE44" s="69">
        <f t="shared" si="16"/>
        <v>0</v>
      </c>
      <c r="AF44" s="68">
        <f t="shared" si="17"/>
        <v>0</v>
      </c>
    </row>
    <row r="45" spans="1:37" x14ac:dyDescent="0.2">
      <c r="A45" s="503"/>
      <c r="B45" s="518"/>
      <c r="C45" s="518"/>
      <c r="D45" s="519"/>
      <c r="E45" s="520"/>
      <c r="F45" s="521"/>
      <c r="G45" s="519"/>
      <c r="H45" s="391"/>
      <c r="I45" s="396"/>
      <c r="J45" s="398"/>
      <c r="K45" s="161">
        <f t="shared" si="2"/>
        <v>0</v>
      </c>
      <c r="L45" s="332">
        <f t="shared" si="3"/>
        <v>0</v>
      </c>
      <c r="M45" s="145">
        <f t="shared" si="4"/>
        <v>0</v>
      </c>
      <c r="N45" s="64">
        <f t="shared" si="5"/>
        <v>0</v>
      </c>
      <c r="O45" s="64">
        <f t="shared" si="6"/>
        <v>0</v>
      </c>
      <c r="P45" s="65">
        <f t="shared" si="7"/>
        <v>0</v>
      </c>
      <c r="Q45" s="221">
        <f t="shared" si="8"/>
        <v>0</v>
      </c>
      <c r="R45" s="110"/>
      <c r="S45" s="218">
        <f t="shared" si="9"/>
        <v>0</v>
      </c>
      <c r="T45" s="219">
        <f t="shared" si="10"/>
        <v>0</v>
      </c>
      <c r="U45" s="219">
        <f t="shared" si="11"/>
        <v>0</v>
      </c>
      <c r="V45" s="219">
        <f t="shared" si="12"/>
        <v>0</v>
      </c>
      <c r="W45" s="336">
        <f t="shared" si="13"/>
        <v>0</v>
      </c>
      <c r="X45" s="214"/>
      <c r="Y45" s="214"/>
      <c r="Z45" s="214"/>
      <c r="AA45" s="1"/>
      <c r="AC45" s="67">
        <f t="shared" si="14"/>
        <v>0</v>
      </c>
      <c r="AD45" s="68">
        <f t="shared" si="15"/>
        <v>0</v>
      </c>
      <c r="AE45" s="69">
        <f t="shared" si="16"/>
        <v>0</v>
      </c>
      <c r="AF45" s="68">
        <f t="shared" si="17"/>
        <v>0</v>
      </c>
    </row>
    <row r="46" spans="1:37" x14ac:dyDescent="0.2">
      <c r="A46" s="503"/>
      <c r="B46" s="518"/>
      <c r="C46" s="518"/>
      <c r="D46" s="519"/>
      <c r="E46" s="520"/>
      <c r="F46" s="521"/>
      <c r="G46" s="519"/>
      <c r="H46" s="391"/>
      <c r="I46" s="396"/>
      <c r="J46" s="398"/>
      <c r="K46" s="161">
        <f t="shared" si="2"/>
        <v>0</v>
      </c>
      <c r="L46" s="332">
        <f t="shared" si="3"/>
        <v>0</v>
      </c>
      <c r="M46" s="145">
        <f t="shared" si="4"/>
        <v>0</v>
      </c>
      <c r="N46" s="64">
        <f t="shared" si="5"/>
        <v>0</v>
      </c>
      <c r="O46" s="64">
        <f t="shared" si="6"/>
        <v>0</v>
      </c>
      <c r="P46" s="65">
        <f t="shared" si="7"/>
        <v>0</v>
      </c>
      <c r="Q46" s="221">
        <f t="shared" si="8"/>
        <v>0</v>
      </c>
      <c r="R46" s="110"/>
      <c r="S46" s="218">
        <f t="shared" si="9"/>
        <v>0</v>
      </c>
      <c r="T46" s="219">
        <f t="shared" si="10"/>
        <v>0</v>
      </c>
      <c r="U46" s="219">
        <f t="shared" si="11"/>
        <v>0</v>
      </c>
      <c r="V46" s="219">
        <f t="shared" si="12"/>
        <v>0</v>
      </c>
      <c r="W46" s="336">
        <f t="shared" si="13"/>
        <v>0</v>
      </c>
      <c r="X46" s="214"/>
      <c r="Y46" s="214"/>
      <c r="Z46" s="214"/>
      <c r="AA46" s="1"/>
      <c r="AC46" s="67">
        <f t="shared" si="14"/>
        <v>0</v>
      </c>
      <c r="AD46" s="68">
        <f t="shared" si="15"/>
        <v>0</v>
      </c>
      <c r="AE46" s="69">
        <f t="shared" si="16"/>
        <v>0</v>
      </c>
      <c r="AF46" s="68">
        <f t="shared" si="17"/>
        <v>0</v>
      </c>
    </row>
    <row r="47" spans="1:37" x14ac:dyDescent="0.2">
      <c r="A47" s="503"/>
      <c r="B47" s="518"/>
      <c r="C47" s="518"/>
      <c r="D47" s="519"/>
      <c r="E47" s="520"/>
      <c r="F47" s="521"/>
      <c r="G47" s="519"/>
      <c r="H47" s="391"/>
      <c r="I47" s="396"/>
      <c r="J47" s="398"/>
      <c r="K47" s="161">
        <f t="shared" si="2"/>
        <v>0</v>
      </c>
      <c r="L47" s="332">
        <f t="shared" si="3"/>
        <v>0</v>
      </c>
      <c r="M47" s="145">
        <f t="shared" si="4"/>
        <v>0</v>
      </c>
      <c r="N47" s="64">
        <f t="shared" si="5"/>
        <v>0</v>
      </c>
      <c r="O47" s="64">
        <f t="shared" si="6"/>
        <v>0</v>
      </c>
      <c r="P47" s="65">
        <f t="shared" si="7"/>
        <v>0</v>
      </c>
      <c r="Q47" s="221">
        <f t="shared" si="8"/>
        <v>0</v>
      </c>
      <c r="R47" s="110"/>
      <c r="S47" s="218">
        <f t="shared" si="9"/>
        <v>0</v>
      </c>
      <c r="T47" s="219">
        <f t="shared" si="10"/>
        <v>0</v>
      </c>
      <c r="U47" s="219">
        <f t="shared" si="11"/>
        <v>0</v>
      </c>
      <c r="V47" s="219">
        <f t="shared" si="12"/>
        <v>0</v>
      </c>
      <c r="W47" s="336">
        <f t="shared" si="13"/>
        <v>0</v>
      </c>
      <c r="X47" s="214"/>
      <c r="Y47" s="214"/>
      <c r="Z47" s="214"/>
      <c r="AA47" s="1"/>
      <c r="AC47" s="67">
        <f t="shared" si="14"/>
        <v>0</v>
      </c>
      <c r="AD47" s="68">
        <f t="shared" si="15"/>
        <v>0</v>
      </c>
      <c r="AE47" s="69">
        <f t="shared" si="16"/>
        <v>0</v>
      </c>
      <c r="AF47" s="68">
        <f t="shared" si="17"/>
        <v>0</v>
      </c>
    </row>
    <row r="48" spans="1:37" x14ac:dyDescent="0.2">
      <c r="A48" s="503"/>
      <c r="B48" s="518"/>
      <c r="C48" s="518"/>
      <c r="D48" s="519"/>
      <c r="E48" s="520"/>
      <c r="F48" s="521"/>
      <c r="G48" s="519"/>
      <c r="H48" s="391"/>
      <c r="I48" s="396"/>
      <c r="J48" s="398"/>
      <c r="K48" s="161">
        <f t="shared" si="2"/>
        <v>0</v>
      </c>
      <c r="L48" s="332">
        <f t="shared" si="3"/>
        <v>0</v>
      </c>
      <c r="M48" s="145">
        <f t="shared" si="4"/>
        <v>0</v>
      </c>
      <c r="N48" s="64">
        <f t="shared" si="5"/>
        <v>0</v>
      </c>
      <c r="O48" s="64">
        <f t="shared" si="6"/>
        <v>0</v>
      </c>
      <c r="P48" s="65">
        <f t="shared" si="7"/>
        <v>0</v>
      </c>
      <c r="Q48" s="221">
        <f t="shared" si="8"/>
        <v>0</v>
      </c>
      <c r="R48" s="110"/>
      <c r="S48" s="218">
        <f t="shared" si="9"/>
        <v>0</v>
      </c>
      <c r="T48" s="219">
        <f t="shared" si="10"/>
        <v>0</v>
      </c>
      <c r="U48" s="219">
        <f t="shared" si="11"/>
        <v>0</v>
      </c>
      <c r="V48" s="219">
        <f t="shared" si="12"/>
        <v>0</v>
      </c>
      <c r="W48" s="336">
        <f t="shared" si="13"/>
        <v>0</v>
      </c>
      <c r="X48" s="214"/>
      <c r="Y48" s="214"/>
      <c r="Z48" s="214"/>
      <c r="AA48" s="1"/>
      <c r="AC48" s="67">
        <f t="shared" si="14"/>
        <v>0</v>
      </c>
      <c r="AD48" s="68">
        <f t="shared" si="15"/>
        <v>0</v>
      </c>
      <c r="AE48" s="69">
        <f t="shared" si="16"/>
        <v>0</v>
      </c>
      <c r="AF48" s="68">
        <f t="shared" si="17"/>
        <v>0</v>
      </c>
    </row>
    <row r="49" spans="1:40" x14ac:dyDescent="0.2">
      <c r="A49" s="503"/>
      <c r="B49" s="518"/>
      <c r="C49" s="518"/>
      <c r="D49" s="519"/>
      <c r="E49" s="520"/>
      <c r="F49" s="521"/>
      <c r="G49" s="519"/>
      <c r="H49" s="391"/>
      <c r="I49" s="396"/>
      <c r="J49" s="398"/>
      <c r="K49" s="161">
        <f t="shared" si="2"/>
        <v>0</v>
      </c>
      <c r="L49" s="332">
        <f t="shared" si="3"/>
        <v>0</v>
      </c>
      <c r="M49" s="145">
        <f t="shared" si="4"/>
        <v>0</v>
      </c>
      <c r="N49" s="64">
        <f t="shared" si="5"/>
        <v>0</v>
      </c>
      <c r="O49" s="64">
        <f t="shared" si="6"/>
        <v>0</v>
      </c>
      <c r="P49" s="65">
        <f t="shared" si="7"/>
        <v>0</v>
      </c>
      <c r="Q49" s="221">
        <f t="shared" si="8"/>
        <v>0</v>
      </c>
      <c r="R49" s="110"/>
      <c r="S49" s="218">
        <f t="shared" si="9"/>
        <v>0</v>
      </c>
      <c r="T49" s="219">
        <f t="shared" si="10"/>
        <v>0</v>
      </c>
      <c r="U49" s="219">
        <f t="shared" si="11"/>
        <v>0</v>
      </c>
      <c r="V49" s="219">
        <f t="shared" si="12"/>
        <v>0</v>
      </c>
      <c r="W49" s="336">
        <f t="shared" si="13"/>
        <v>0</v>
      </c>
      <c r="X49" s="214"/>
      <c r="Y49" s="214"/>
      <c r="Z49" s="214"/>
      <c r="AA49" s="1"/>
      <c r="AC49" s="67">
        <f t="shared" si="14"/>
        <v>0</v>
      </c>
      <c r="AD49" s="68">
        <f t="shared" si="15"/>
        <v>0</v>
      </c>
      <c r="AE49" s="69">
        <f t="shared" si="16"/>
        <v>0</v>
      </c>
      <c r="AF49" s="68">
        <f t="shared" si="17"/>
        <v>0</v>
      </c>
    </row>
    <row r="50" spans="1:40" x14ac:dyDescent="0.2">
      <c r="A50" s="503"/>
      <c r="B50" s="518"/>
      <c r="C50" s="518"/>
      <c r="D50" s="519"/>
      <c r="E50" s="520"/>
      <c r="F50" s="519"/>
      <c r="G50" s="519"/>
      <c r="H50" s="391"/>
      <c r="I50" s="396"/>
      <c r="J50" s="398"/>
      <c r="K50" s="161">
        <f t="shared" si="2"/>
        <v>0</v>
      </c>
      <c r="L50" s="332">
        <f t="shared" si="3"/>
        <v>0</v>
      </c>
      <c r="M50" s="145">
        <f t="shared" si="4"/>
        <v>0</v>
      </c>
      <c r="N50" s="64">
        <f t="shared" si="5"/>
        <v>0</v>
      </c>
      <c r="O50" s="64">
        <f t="shared" si="6"/>
        <v>0</v>
      </c>
      <c r="P50" s="65">
        <f t="shared" si="7"/>
        <v>0</v>
      </c>
      <c r="Q50" s="221">
        <f t="shared" si="8"/>
        <v>0</v>
      </c>
      <c r="R50" s="110"/>
      <c r="S50" s="218">
        <f t="shared" si="9"/>
        <v>0</v>
      </c>
      <c r="T50" s="219">
        <f t="shared" si="10"/>
        <v>0</v>
      </c>
      <c r="U50" s="219">
        <f t="shared" si="11"/>
        <v>0</v>
      </c>
      <c r="V50" s="219">
        <f t="shared" si="12"/>
        <v>0</v>
      </c>
      <c r="W50" s="336">
        <f t="shared" si="13"/>
        <v>0</v>
      </c>
      <c r="X50" s="214"/>
      <c r="Y50" s="214"/>
      <c r="Z50" s="214"/>
      <c r="AA50" s="1"/>
      <c r="AC50" s="67">
        <f t="shared" si="14"/>
        <v>0</v>
      </c>
      <c r="AD50" s="68">
        <f t="shared" si="15"/>
        <v>0</v>
      </c>
      <c r="AE50" s="69">
        <f t="shared" si="16"/>
        <v>0</v>
      </c>
      <c r="AF50" s="68">
        <f t="shared" si="17"/>
        <v>0</v>
      </c>
    </row>
    <row r="51" spans="1:40" x14ac:dyDescent="0.2">
      <c r="A51" s="503"/>
      <c r="B51" s="518"/>
      <c r="C51" s="518"/>
      <c r="D51" s="519"/>
      <c r="E51" s="520"/>
      <c r="F51" s="519"/>
      <c r="G51" s="519"/>
      <c r="H51" s="391"/>
      <c r="I51" s="396"/>
      <c r="J51" s="398"/>
      <c r="K51" s="161">
        <f t="shared" si="2"/>
        <v>0</v>
      </c>
      <c r="L51" s="332">
        <f t="shared" si="3"/>
        <v>0</v>
      </c>
      <c r="M51" s="145">
        <f t="shared" si="4"/>
        <v>0</v>
      </c>
      <c r="N51" s="64">
        <f t="shared" si="5"/>
        <v>0</v>
      </c>
      <c r="O51" s="64">
        <f t="shared" si="6"/>
        <v>0</v>
      </c>
      <c r="P51" s="65">
        <f t="shared" si="7"/>
        <v>0</v>
      </c>
      <c r="Q51" s="221">
        <f t="shared" si="8"/>
        <v>0</v>
      </c>
      <c r="R51" s="110"/>
      <c r="S51" s="218">
        <f t="shared" si="9"/>
        <v>0</v>
      </c>
      <c r="T51" s="219">
        <f t="shared" si="10"/>
        <v>0</v>
      </c>
      <c r="U51" s="219">
        <f t="shared" si="11"/>
        <v>0</v>
      </c>
      <c r="V51" s="219">
        <f t="shared" si="12"/>
        <v>0</v>
      </c>
      <c r="W51" s="336">
        <f t="shared" si="13"/>
        <v>0</v>
      </c>
      <c r="X51" s="214"/>
      <c r="Y51" s="214"/>
      <c r="Z51" s="214"/>
      <c r="AA51" s="1"/>
      <c r="AC51" s="67">
        <f t="shared" si="14"/>
        <v>0</v>
      </c>
      <c r="AD51" s="68">
        <f t="shared" si="15"/>
        <v>0</v>
      </c>
      <c r="AE51" s="69">
        <f t="shared" si="16"/>
        <v>0</v>
      </c>
      <c r="AF51" s="68">
        <f t="shared" si="17"/>
        <v>0</v>
      </c>
    </row>
    <row r="52" spans="1:40" x14ac:dyDescent="0.2">
      <c r="A52" s="503"/>
      <c r="B52" s="518"/>
      <c r="C52" s="518"/>
      <c r="D52" s="519"/>
      <c r="E52" s="520"/>
      <c r="F52" s="519"/>
      <c r="G52" s="519"/>
      <c r="H52" s="391"/>
      <c r="I52" s="396"/>
      <c r="J52" s="398"/>
      <c r="K52" s="161">
        <f t="shared" si="2"/>
        <v>0</v>
      </c>
      <c r="L52" s="332">
        <f t="shared" si="3"/>
        <v>0</v>
      </c>
      <c r="M52" s="145">
        <f t="shared" si="4"/>
        <v>0</v>
      </c>
      <c r="N52" s="64">
        <f t="shared" si="5"/>
        <v>0</v>
      </c>
      <c r="O52" s="64">
        <f t="shared" si="6"/>
        <v>0</v>
      </c>
      <c r="P52" s="65">
        <f t="shared" si="7"/>
        <v>0</v>
      </c>
      <c r="Q52" s="221">
        <f t="shared" si="8"/>
        <v>0</v>
      </c>
      <c r="R52" s="110"/>
      <c r="S52" s="218">
        <f t="shared" si="9"/>
        <v>0</v>
      </c>
      <c r="T52" s="219">
        <f t="shared" si="10"/>
        <v>0</v>
      </c>
      <c r="U52" s="219">
        <f t="shared" si="11"/>
        <v>0</v>
      </c>
      <c r="V52" s="219">
        <f t="shared" si="12"/>
        <v>0</v>
      </c>
      <c r="W52" s="336">
        <f t="shared" si="13"/>
        <v>0</v>
      </c>
      <c r="X52" s="214"/>
      <c r="Y52" s="214"/>
      <c r="Z52" s="214"/>
      <c r="AA52" s="1"/>
      <c r="AC52" s="67">
        <f t="shared" si="14"/>
        <v>0</v>
      </c>
      <c r="AD52" s="68">
        <f t="shared" si="15"/>
        <v>0</v>
      </c>
      <c r="AE52" s="69">
        <f t="shared" si="16"/>
        <v>0</v>
      </c>
      <c r="AF52" s="68">
        <f t="shared" si="17"/>
        <v>0</v>
      </c>
    </row>
    <row r="53" spans="1:40" x14ac:dyDescent="0.2">
      <c r="A53" s="503"/>
      <c r="B53" s="518"/>
      <c r="C53" s="518"/>
      <c r="D53" s="519"/>
      <c r="E53" s="520"/>
      <c r="F53" s="519"/>
      <c r="G53" s="519"/>
      <c r="H53" s="391"/>
      <c r="I53" s="396"/>
      <c r="J53" s="398"/>
      <c r="K53" s="161">
        <f t="shared" si="2"/>
        <v>0</v>
      </c>
      <c r="L53" s="332">
        <f t="shared" si="3"/>
        <v>0</v>
      </c>
      <c r="M53" s="145">
        <f t="shared" si="4"/>
        <v>0</v>
      </c>
      <c r="N53" s="64">
        <f t="shared" si="5"/>
        <v>0</v>
      </c>
      <c r="O53" s="64">
        <f t="shared" si="6"/>
        <v>0</v>
      </c>
      <c r="P53" s="65">
        <f t="shared" si="7"/>
        <v>0</v>
      </c>
      <c r="Q53" s="221">
        <f t="shared" si="8"/>
        <v>0</v>
      </c>
      <c r="R53" s="110"/>
      <c r="S53" s="218">
        <f t="shared" si="9"/>
        <v>0</v>
      </c>
      <c r="T53" s="219">
        <f t="shared" si="10"/>
        <v>0</v>
      </c>
      <c r="U53" s="219">
        <f t="shared" si="11"/>
        <v>0</v>
      </c>
      <c r="V53" s="219">
        <f t="shared" si="12"/>
        <v>0</v>
      </c>
      <c r="W53" s="336">
        <f t="shared" si="13"/>
        <v>0</v>
      </c>
      <c r="X53" s="214"/>
      <c r="Y53" s="214"/>
      <c r="Z53" s="214"/>
      <c r="AA53" s="1"/>
      <c r="AC53" s="67">
        <f t="shared" si="14"/>
        <v>0</v>
      </c>
      <c r="AD53" s="68">
        <f t="shared" si="15"/>
        <v>0</v>
      </c>
      <c r="AE53" s="69">
        <f t="shared" si="16"/>
        <v>0</v>
      </c>
      <c r="AF53" s="68">
        <f t="shared" si="17"/>
        <v>0</v>
      </c>
    </row>
    <row r="54" spans="1:40" x14ac:dyDescent="0.2">
      <c r="A54" s="503"/>
      <c r="B54" s="518"/>
      <c r="C54" s="518"/>
      <c r="D54" s="519"/>
      <c r="E54" s="520"/>
      <c r="F54" s="519"/>
      <c r="G54" s="519"/>
      <c r="H54" s="391"/>
      <c r="I54" s="396"/>
      <c r="J54" s="398"/>
      <c r="K54" s="161">
        <f t="shared" si="2"/>
        <v>0</v>
      </c>
      <c r="L54" s="332">
        <f t="shared" si="3"/>
        <v>0</v>
      </c>
      <c r="M54" s="145">
        <f t="shared" si="4"/>
        <v>0</v>
      </c>
      <c r="N54" s="64">
        <f t="shared" si="5"/>
        <v>0</v>
      </c>
      <c r="O54" s="64">
        <f t="shared" si="6"/>
        <v>0</v>
      </c>
      <c r="P54" s="65">
        <f t="shared" si="7"/>
        <v>0</v>
      </c>
      <c r="Q54" s="221">
        <f t="shared" si="8"/>
        <v>0</v>
      </c>
      <c r="R54" s="110"/>
      <c r="S54" s="218">
        <f t="shared" si="9"/>
        <v>0</v>
      </c>
      <c r="T54" s="219">
        <f t="shared" si="10"/>
        <v>0</v>
      </c>
      <c r="U54" s="219">
        <f t="shared" si="11"/>
        <v>0</v>
      </c>
      <c r="V54" s="219">
        <f t="shared" si="12"/>
        <v>0</v>
      </c>
      <c r="W54" s="336">
        <f t="shared" si="13"/>
        <v>0</v>
      </c>
      <c r="X54" s="214"/>
      <c r="Y54" s="214"/>
      <c r="Z54" s="214"/>
      <c r="AA54" s="1"/>
      <c r="AC54" s="67">
        <f t="shared" si="14"/>
        <v>0</v>
      </c>
      <c r="AD54" s="68">
        <f t="shared" si="15"/>
        <v>0</v>
      </c>
      <c r="AE54" s="69">
        <f t="shared" si="16"/>
        <v>0</v>
      </c>
      <c r="AF54" s="68">
        <f t="shared" si="17"/>
        <v>0</v>
      </c>
    </row>
    <row r="55" spans="1:40" x14ac:dyDescent="0.2">
      <c r="A55" s="503"/>
      <c r="B55" s="518"/>
      <c r="C55" s="518"/>
      <c r="D55" s="519"/>
      <c r="E55" s="520"/>
      <c r="F55" s="519"/>
      <c r="G55" s="519"/>
      <c r="H55" s="391"/>
      <c r="I55" s="396"/>
      <c r="J55" s="398"/>
      <c r="K55" s="161">
        <f t="shared" si="2"/>
        <v>0</v>
      </c>
      <c r="L55" s="332">
        <f t="shared" si="3"/>
        <v>0</v>
      </c>
      <c r="M55" s="145">
        <f t="shared" si="4"/>
        <v>0</v>
      </c>
      <c r="N55" s="64">
        <f t="shared" si="5"/>
        <v>0</v>
      </c>
      <c r="O55" s="64">
        <f t="shared" si="6"/>
        <v>0</v>
      </c>
      <c r="P55" s="65">
        <f t="shared" si="7"/>
        <v>0</v>
      </c>
      <c r="Q55" s="221">
        <f t="shared" si="8"/>
        <v>0</v>
      </c>
      <c r="R55" s="110"/>
      <c r="S55" s="218">
        <f t="shared" si="9"/>
        <v>0</v>
      </c>
      <c r="T55" s="219">
        <f t="shared" si="10"/>
        <v>0</v>
      </c>
      <c r="U55" s="219">
        <f t="shared" si="11"/>
        <v>0</v>
      </c>
      <c r="V55" s="219">
        <f t="shared" si="12"/>
        <v>0</v>
      </c>
      <c r="W55" s="336">
        <f t="shared" si="13"/>
        <v>0</v>
      </c>
      <c r="X55" s="214"/>
      <c r="Y55" s="214"/>
      <c r="Z55" s="214"/>
      <c r="AA55" s="1"/>
      <c r="AC55" s="67">
        <f t="shared" si="14"/>
        <v>0</v>
      </c>
      <c r="AD55" s="68">
        <f t="shared" si="15"/>
        <v>0</v>
      </c>
      <c r="AE55" s="69">
        <f t="shared" si="16"/>
        <v>0</v>
      </c>
      <c r="AF55" s="68">
        <f t="shared" si="17"/>
        <v>0</v>
      </c>
    </row>
    <row r="56" spans="1:40" x14ac:dyDescent="0.2">
      <c r="A56" s="503"/>
      <c r="B56" s="518"/>
      <c r="C56" s="518"/>
      <c r="D56" s="519"/>
      <c r="E56" s="520"/>
      <c r="F56" s="519"/>
      <c r="G56" s="519"/>
      <c r="H56" s="391"/>
      <c r="I56" s="396"/>
      <c r="J56" s="398"/>
      <c r="K56" s="161">
        <f t="shared" si="2"/>
        <v>0</v>
      </c>
      <c r="L56" s="332">
        <f t="shared" si="3"/>
        <v>0</v>
      </c>
      <c r="M56" s="145">
        <f t="shared" si="4"/>
        <v>0</v>
      </c>
      <c r="N56" s="64">
        <f t="shared" si="5"/>
        <v>0</v>
      </c>
      <c r="O56" s="64">
        <f t="shared" si="6"/>
        <v>0</v>
      </c>
      <c r="P56" s="65">
        <f t="shared" si="7"/>
        <v>0</v>
      </c>
      <c r="Q56" s="221">
        <f t="shared" si="8"/>
        <v>0</v>
      </c>
      <c r="R56" s="110"/>
      <c r="S56" s="218">
        <f t="shared" si="9"/>
        <v>0</v>
      </c>
      <c r="T56" s="219">
        <f t="shared" si="10"/>
        <v>0</v>
      </c>
      <c r="U56" s="219">
        <f t="shared" si="11"/>
        <v>0</v>
      </c>
      <c r="V56" s="219">
        <f t="shared" si="12"/>
        <v>0</v>
      </c>
      <c r="W56" s="336">
        <f t="shared" si="13"/>
        <v>0</v>
      </c>
      <c r="X56" s="214"/>
      <c r="Y56" s="214"/>
      <c r="Z56" s="214"/>
      <c r="AA56" s="1"/>
      <c r="AC56" s="67">
        <f t="shared" si="14"/>
        <v>0</v>
      </c>
      <c r="AD56" s="68">
        <f t="shared" si="15"/>
        <v>0</v>
      </c>
      <c r="AE56" s="69">
        <f t="shared" si="16"/>
        <v>0</v>
      </c>
      <c r="AF56" s="68">
        <f t="shared" si="17"/>
        <v>0</v>
      </c>
    </row>
    <row r="57" spans="1:40" x14ac:dyDescent="0.2">
      <c r="A57" s="503"/>
      <c r="B57" s="518"/>
      <c r="C57" s="518"/>
      <c r="D57" s="519"/>
      <c r="E57" s="520"/>
      <c r="F57" s="519"/>
      <c r="G57" s="519"/>
      <c r="H57" s="391"/>
      <c r="I57" s="396"/>
      <c r="J57" s="398"/>
      <c r="K57" s="161">
        <f t="shared" si="2"/>
        <v>0</v>
      </c>
      <c r="L57" s="332">
        <f t="shared" si="3"/>
        <v>0</v>
      </c>
      <c r="M57" s="145">
        <f t="shared" si="4"/>
        <v>0</v>
      </c>
      <c r="N57" s="64">
        <f t="shared" si="5"/>
        <v>0</v>
      </c>
      <c r="O57" s="64">
        <f t="shared" si="6"/>
        <v>0</v>
      </c>
      <c r="P57" s="65">
        <f t="shared" si="7"/>
        <v>0</v>
      </c>
      <c r="Q57" s="221">
        <f t="shared" si="8"/>
        <v>0</v>
      </c>
      <c r="R57" s="110"/>
      <c r="S57" s="218">
        <f t="shared" si="9"/>
        <v>0</v>
      </c>
      <c r="T57" s="219">
        <f t="shared" si="10"/>
        <v>0</v>
      </c>
      <c r="U57" s="219">
        <f t="shared" si="11"/>
        <v>0</v>
      </c>
      <c r="V57" s="219">
        <f t="shared" si="12"/>
        <v>0</v>
      </c>
      <c r="W57" s="336">
        <f t="shared" si="13"/>
        <v>0</v>
      </c>
      <c r="X57" s="214"/>
      <c r="Y57" s="214"/>
      <c r="Z57" s="214"/>
      <c r="AA57" s="1"/>
      <c r="AC57" s="67">
        <f t="shared" si="14"/>
        <v>0</v>
      </c>
      <c r="AD57" s="68">
        <f t="shared" si="15"/>
        <v>0</v>
      </c>
      <c r="AE57" s="69">
        <f t="shared" si="16"/>
        <v>0</v>
      </c>
      <c r="AF57" s="68">
        <f t="shared" si="17"/>
        <v>0</v>
      </c>
    </row>
    <row r="58" spans="1:40" x14ac:dyDescent="0.2">
      <c r="A58" s="503"/>
      <c r="B58" s="518"/>
      <c r="C58" s="518"/>
      <c r="D58" s="519"/>
      <c r="E58" s="520"/>
      <c r="F58" s="519"/>
      <c r="G58" s="519"/>
      <c r="H58" s="391"/>
      <c r="I58" s="396"/>
      <c r="J58" s="398"/>
      <c r="K58" s="161">
        <f t="shared" si="2"/>
        <v>0</v>
      </c>
      <c r="L58" s="332">
        <f t="shared" si="3"/>
        <v>0</v>
      </c>
      <c r="M58" s="145">
        <f t="shared" si="4"/>
        <v>0</v>
      </c>
      <c r="N58" s="64">
        <f t="shared" si="5"/>
        <v>0</v>
      </c>
      <c r="O58" s="64">
        <f t="shared" si="6"/>
        <v>0</v>
      </c>
      <c r="P58" s="65">
        <f t="shared" si="7"/>
        <v>0</v>
      </c>
      <c r="Q58" s="221">
        <f t="shared" si="8"/>
        <v>0</v>
      </c>
      <c r="R58" s="110"/>
      <c r="S58" s="218">
        <f t="shared" si="9"/>
        <v>0</v>
      </c>
      <c r="T58" s="219">
        <f t="shared" si="10"/>
        <v>0</v>
      </c>
      <c r="U58" s="219">
        <f t="shared" si="11"/>
        <v>0</v>
      </c>
      <c r="V58" s="219">
        <f t="shared" si="12"/>
        <v>0</v>
      </c>
      <c r="W58" s="336">
        <f t="shared" si="13"/>
        <v>0</v>
      </c>
      <c r="X58" s="214"/>
      <c r="Y58" s="214"/>
      <c r="Z58" s="214"/>
      <c r="AA58" s="1"/>
      <c r="AC58" s="67">
        <f t="shared" si="14"/>
        <v>0</v>
      </c>
      <c r="AD58" s="68">
        <f t="shared" si="15"/>
        <v>0</v>
      </c>
      <c r="AE58" s="69">
        <f t="shared" si="16"/>
        <v>0</v>
      </c>
      <c r="AF58" s="68">
        <f t="shared" si="17"/>
        <v>0</v>
      </c>
    </row>
    <row r="59" spans="1:40" x14ac:dyDescent="0.2">
      <c r="A59" s="503"/>
      <c r="B59" s="518"/>
      <c r="C59" s="518"/>
      <c r="D59" s="519"/>
      <c r="E59" s="520"/>
      <c r="F59" s="519"/>
      <c r="G59" s="519"/>
      <c r="H59" s="391"/>
      <c r="I59" s="396"/>
      <c r="J59" s="398"/>
      <c r="K59" s="161">
        <f t="shared" si="2"/>
        <v>0</v>
      </c>
      <c r="L59" s="332">
        <f t="shared" si="3"/>
        <v>0</v>
      </c>
      <c r="M59" s="145">
        <f t="shared" si="4"/>
        <v>0</v>
      </c>
      <c r="N59" s="64">
        <f t="shared" si="5"/>
        <v>0</v>
      </c>
      <c r="O59" s="64">
        <f t="shared" si="6"/>
        <v>0</v>
      </c>
      <c r="P59" s="65">
        <f t="shared" si="7"/>
        <v>0</v>
      </c>
      <c r="Q59" s="221">
        <f t="shared" si="8"/>
        <v>0</v>
      </c>
      <c r="R59" s="110"/>
      <c r="S59" s="218">
        <f t="shared" si="9"/>
        <v>0</v>
      </c>
      <c r="T59" s="219">
        <f t="shared" si="10"/>
        <v>0</v>
      </c>
      <c r="U59" s="219">
        <f t="shared" si="11"/>
        <v>0</v>
      </c>
      <c r="V59" s="219">
        <f t="shared" si="12"/>
        <v>0</v>
      </c>
      <c r="W59" s="336">
        <f t="shared" si="13"/>
        <v>0</v>
      </c>
      <c r="X59" s="214"/>
      <c r="Y59" s="214"/>
      <c r="Z59" s="214"/>
      <c r="AA59" s="1"/>
      <c r="AC59" s="67">
        <f t="shared" si="14"/>
        <v>0</v>
      </c>
      <c r="AD59" s="68">
        <f t="shared" si="15"/>
        <v>0</v>
      </c>
      <c r="AE59" s="69">
        <f t="shared" si="16"/>
        <v>0</v>
      </c>
      <c r="AF59" s="68">
        <f t="shared" si="17"/>
        <v>0</v>
      </c>
    </row>
    <row r="60" spans="1:40" x14ac:dyDescent="0.2">
      <c r="A60" s="503"/>
      <c r="B60" s="518"/>
      <c r="C60" s="518"/>
      <c r="D60" s="519"/>
      <c r="E60" s="520"/>
      <c r="F60" s="519"/>
      <c r="G60" s="519"/>
      <c r="H60" s="391"/>
      <c r="I60" s="396"/>
      <c r="J60" s="398"/>
      <c r="K60" s="161">
        <f t="shared" si="2"/>
        <v>0</v>
      </c>
      <c r="L60" s="332">
        <f t="shared" si="3"/>
        <v>0</v>
      </c>
      <c r="M60" s="145">
        <f t="shared" si="4"/>
        <v>0</v>
      </c>
      <c r="N60" s="64">
        <f t="shared" si="5"/>
        <v>0</v>
      </c>
      <c r="O60" s="64">
        <f t="shared" si="6"/>
        <v>0</v>
      </c>
      <c r="P60" s="65">
        <f t="shared" si="7"/>
        <v>0</v>
      </c>
      <c r="Q60" s="221">
        <f t="shared" si="8"/>
        <v>0</v>
      </c>
      <c r="R60" s="110"/>
      <c r="S60" s="218">
        <f t="shared" si="9"/>
        <v>0</v>
      </c>
      <c r="T60" s="219">
        <f t="shared" si="10"/>
        <v>0</v>
      </c>
      <c r="U60" s="219">
        <f t="shared" si="11"/>
        <v>0</v>
      </c>
      <c r="V60" s="219">
        <f t="shared" si="12"/>
        <v>0</v>
      </c>
      <c r="W60" s="336">
        <f t="shared" si="13"/>
        <v>0</v>
      </c>
      <c r="X60" s="214"/>
      <c r="Y60" s="214"/>
      <c r="Z60" s="214"/>
      <c r="AA60" s="1"/>
      <c r="AC60" s="67">
        <f t="shared" si="14"/>
        <v>0</v>
      </c>
      <c r="AD60" s="68">
        <f t="shared" si="15"/>
        <v>0</v>
      </c>
      <c r="AE60" s="69">
        <f t="shared" si="16"/>
        <v>0</v>
      </c>
      <c r="AF60" s="68">
        <f t="shared" si="17"/>
        <v>0</v>
      </c>
      <c r="AH60" s="152"/>
    </row>
    <row r="61" spans="1:40" ht="12.95" customHeight="1" x14ac:dyDescent="0.2">
      <c r="A61" s="503"/>
      <c r="B61" s="518"/>
      <c r="C61" s="518"/>
      <c r="D61" s="519"/>
      <c r="E61" s="520"/>
      <c r="F61" s="519"/>
      <c r="G61" s="519"/>
      <c r="H61" s="391"/>
      <c r="I61" s="396"/>
      <c r="J61" s="398"/>
      <c r="K61" s="161">
        <f t="shared" si="2"/>
        <v>0</v>
      </c>
      <c r="L61" s="332">
        <f t="shared" si="3"/>
        <v>0</v>
      </c>
      <c r="M61" s="145">
        <f t="shared" si="4"/>
        <v>0</v>
      </c>
      <c r="N61" s="64">
        <f t="shared" si="5"/>
        <v>0</v>
      </c>
      <c r="O61" s="64">
        <f t="shared" si="6"/>
        <v>0</v>
      </c>
      <c r="P61" s="65">
        <f t="shared" si="7"/>
        <v>0</v>
      </c>
      <c r="Q61" s="221">
        <f t="shared" si="8"/>
        <v>0</v>
      </c>
      <c r="R61" s="110"/>
      <c r="S61" s="218">
        <f t="shared" si="9"/>
        <v>0</v>
      </c>
      <c r="T61" s="219">
        <f t="shared" si="10"/>
        <v>0</v>
      </c>
      <c r="U61" s="219">
        <f t="shared" si="11"/>
        <v>0</v>
      </c>
      <c r="V61" s="219">
        <f t="shared" si="12"/>
        <v>0</v>
      </c>
      <c r="W61" s="336">
        <f t="shared" si="13"/>
        <v>0</v>
      </c>
      <c r="X61" s="214"/>
      <c r="Y61" s="214"/>
      <c r="Z61" s="214"/>
      <c r="AA61" s="1"/>
      <c r="AC61" s="67">
        <f t="shared" si="14"/>
        <v>0</v>
      </c>
      <c r="AD61" s="68">
        <f t="shared" si="15"/>
        <v>0</v>
      </c>
      <c r="AE61" s="69">
        <f t="shared" si="16"/>
        <v>0</v>
      </c>
      <c r="AF61" s="68">
        <f t="shared" si="17"/>
        <v>0</v>
      </c>
      <c r="AH61" s="152"/>
    </row>
    <row r="62" spans="1:40" ht="13.5" thickBot="1" x14ac:dyDescent="0.25">
      <c r="A62" s="523"/>
      <c r="B62" s="556"/>
      <c r="C62" s="556"/>
      <c r="D62" s="525"/>
      <c r="E62" s="524"/>
      <c r="F62" s="525"/>
      <c r="G62" s="525"/>
      <c r="H62" s="526"/>
      <c r="I62" s="527"/>
      <c r="J62" s="528"/>
      <c r="K62" s="529">
        <f t="shared" si="2"/>
        <v>0</v>
      </c>
      <c r="L62" s="530">
        <f t="shared" si="3"/>
        <v>0</v>
      </c>
      <c r="M62" s="531">
        <f t="shared" si="4"/>
        <v>0</v>
      </c>
      <c r="N62" s="112">
        <f t="shared" si="5"/>
        <v>0</v>
      </c>
      <c r="O62" s="112">
        <f t="shared" si="6"/>
        <v>0</v>
      </c>
      <c r="P62" s="532">
        <f t="shared" si="7"/>
        <v>0</v>
      </c>
      <c r="Q62" s="533">
        <f t="shared" si="8"/>
        <v>0</v>
      </c>
      <c r="R62" s="110"/>
      <c r="S62" s="218">
        <f t="shared" si="9"/>
        <v>0</v>
      </c>
      <c r="T62" s="219">
        <f t="shared" si="10"/>
        <v>0</v>
      </c>
      <c r="U62" s="219">
        <f t="shared" si="11"/>
        <v>0</v>
      </c>
      <c r="V62" s="219">
        <f t="shared" si="12"/>
        <v>0</v>
      </c>
      <c r="W62" s="336">
        <f t="shared" si="13"/>
        <v>0</v>
      </c>
      <c r="X62" s="214"/>
      <c r="Y62" s="214"/>
      <c r="Z62" s="214"/>
      <c r="AA62" s="1"/>
      <c r="AC62" s="67">
        <f t="shared" si="14"/>
        <v>0</v>
      </c>
      <c r="AD62" s="68">
        <f t="shared" si="15"/>
        <v>0</v>
      </c>
      <c r="AE62" s="69">
        <f t="shared" si="16"/>
        <v>0</v>
      </c>
      <c r="AF62" s="68">
        <f t="shared" si="17"/>
        <v>0</v>
      </c>
    </row>
    <row r="63" spans="1:40" ht="13.5" thickBot="1" x14ac:dyDescent="0.25">
      <c r="A63" s="534"/>
      <c r="B63" s="557"/>
      <c r="C63" s="557"/>
      <c r="D63" s="558"/>
      <c r="E63" s="538" t="s">
        <v>12</v>
      </c>
      <c r="F63" s="538"/>
      <c r="G63" s="538"/>
      <c r="H63" s="539"/>
      <c r="I63" s="540"/>
      <c r="J63" s="541"/>
      <c r="K63" s="542">
        <f t="shared" ref="K63:Q63" si="18">SUM(K43:K62)</f>
        <v>0</v>
      </c>
      <c r="L63" s="543">
        <f t="shared" si="18"/>
        <v>0</v>
      </c>
      <c r="M63" s="544">
        <f t="shared" si="18"/>
        <v>0</v>
      </c>
      <c r="N63" s="545">
        <f t="shared" si="18"/>
        <v>0</v>
      </c>
      <c r="O63" s="545">
        <f t="shared" si="18"/>
        <v>0</v>
      </c>
      <c r="P63" s="543">
        <f t="shared" si="18"/>
        <v>0</v>
      </c>
      <c r="Q63" s="333">
        <f t="shared" si="18"/>
        <v>0</v>
      </c>
      <c r="R63" s="110"/>
      <c r="S63" s="598">
        <f>ROUND(SUM(S43:S62),2)</f>
        <v>0</v>
      </c>
      <c r="T63" s="599">
        <f>ROUND(SUM(T43:T62),2)</f>
        <v>0</v>
      </c>
      <c r="U63" s="599">
        <f>ROUND(SUM(U43:U62),2)</f>
        <v>0</v>
      </c>
      <c r="V63" s="600">
        <f>ROUND(SUM(V43:V62),2)</f>
        <v>0</v>
      </c>
      <c r="W63" s="591">
        <f>SUM(W43:W62)</f>
        <v>0</v>
      </c>
      <c r="X63" s="214"/>
      <c r="Y63" s="214"/>
      <c r="Z63" s="214"/>
      <c r="AC63" s="68">
        <f>SUM(AC43:AC62)</f>
        <v>0</v>
      </c>
      <c r="AD63" s="68">
        <f>SUM(AD43:AD62)</f>
        <v>0</v>
      </c>
      <c r="AE63" s="68">
        <f>SUM(AE43:AE62)</f>
        <v>0</v>
      </c>
      <c r="AF63" s="68">
        <f>SUM(AF43:AF62)</f>
        <v>0</v>
      </c>
      <c r="AH63" s="152"/>
    </row>
    <row r="64" spans="1:40" x14ac:dyDescent="0.2">
      <c r="A64" s="504" t="s">
        <v>80</v>
      </c>
      <c r="B64" s="499"/>
      <c r="C64" s="499"/>
      <c r="D64" s="499"/>
      <c r="E64" s="320"/>
      <c r="F64" s="320"/>
      <c r="G64" s="320"/>
      <c r="H64" s="320"/>
      <c r="I64" s="320"/>
      <c r="J64" s="320"/>
      <c r="K64" s="320"/>
      <c r="L64" s="320"/>
      <c r="M64" s="320"/>
      <c r="N64" s="320"/>
      <c r="O64" s="320"/>
      <c r="P64" s="320"/>
      <c r="Q64" s="320"/>
      <c r="R64" s="320"/>
      <c r="S64" s="214"/>
      <c r="T64" s="214"/>
      <c r="U64" s="214"/>
      <c r="V64" s="214"/>
      <c r="W64" s="214"/>
      <c r="X64" s="214"/>
      <c r="Y64" s="214"/>
      <c r="Z64" s="214"/>
      <c r="AA64" s="214"/>
      <c r="AB64" s="214"/>
      <c r="AC64" s="214"/>
      <c r="AD64" s="214"/>
      <c r="AE64" s="214"/>
      <c r="AF64" s="214"/>
      <c r="AI64" s="134"/>
      <c r="AJ64" s="134"/>
      <c r="AK64" s="134"/>
      <c r="AL64" s="134"/>
      <c r="AN64" s="152"/>
    </row>
    <row r="65" spans="1:44" x14ac:dyDescent="0.2">
      <c r="A65" s="52" t="s">
        <v>72</v>
      </c>
      <c r="B65" s="52"/>
      <c r="C65" s="52"/>
      <c r="D65" s="52"/>
      <c r="E65" s="321"/>
      <c r="F65" s="322"/>
      <c r="G65" s="322"/>
      <c r="H65" s="323"/>
      <c r="I65" s="323"/>
      <c r="J65" s="323"/>
      <c r="K65" s="324"/>
      <c r="L65" s="325"/>
      <c r="M65" s="325"/>
      <c r="N65" s="325"/>
      <c r="O65" s="325"/>
      <c r="P65" s="325"/>
      <c r="Q65" s="325"/>
      <c r="R65" s="133"/>
      <c r="S65" s="231"/>
      <c r="T65" s="231"/>
      <c r="U65" s="231"/>
      <c r="V65" s="231"/>
      <c r="W65" s="231"/>
      <c r="X65" s="214"/>
      <c r="Y65" s="318"/>
      <c r="Z65" s="318"/>
      <c r="AA65" s="214"/>
      <c r="AB65" s="214"/>
      <c r="AC65" s="214"/>
      <c r="AD65" s="214"/>
      <c r="AE65" s="214"/>
      <c r="AF65" s="214"/>
      <c r="AI65" s="134"/>
      <c r="AJ65" s="134"/>
      <c r="AK65" s="134"/>
      <c r="AL65" s="134"/>
      <c r="AN65" s="152"/>
    </row>
    <row r="66" spans="1:44" x14ac:dyDescent="0.2">
      <c r="A66" s="651"/>
      <c r="B66" s="651"/>
      <c r="C66" s="651"/>
      <c r="D66" s="651"/>
      <c r="E66" s="711"/>
      <c r="F66" s="711"/>
      <c r="G66" s="711"/>
      <c r="H66" s="711"/>
      <c r="I66" s="711"/>
      <c r="J66" s="711"/>
      <c r="K66" s="711"/>
      <c r="L66" s="711"/>
      <c r="M66" s="711"/>
      <c r="N66" s="711"/>
      <c r="O66" s="711"/>
      <c r="P66" s="711"/>
      <c r="Q66" s="712"/>
      <c r="R66" s="133"/>
      <c r="S66" s="214" t="s">
        <v>104</v>
      </c>
      <c r="T66" s="641"/>
      <c r="U66" s="642"/>
      <c r="V66" s="643"/>
      <c r="AA66" s="214"/>
      <c r="AB66" s="214"/>
      <c r="AC66" s="214"/>
      <c r="AD66" s="214"/>
      <c r="AE66" s="214"/>
      <c r="AF66" s="214"/>
      <c r="AI66" s="134"/>
      <c r="AJ66" s="134"/>
      <c r="AK66" s="134"/>
      <c r="AL66" s="134"/>
      <c r="AN66" s="152"/>
    </row>
    <row r="67" spans="1:44" x14ac:dyDescent="0.2">
      <c r="A67" s="713"/>
      <c r="B67" s="713"/>
      <c r="C67" s="713"/>
      <c r="D67" s="713"/>
      <c r="E67" s="713"/>
      <c r="F67" s="713"/>
      <c r="G67" s="713"/>
      <c r="H67" s="713"/>
      <c r="I67" s="713"/>
      <c r="J67" s="713"/>
      <c r="K67" s="713"/>
      <c r="L67" s="713"/>
      <c r="M67" s="713"/>
      <c r="N67" s="713"/>
      <c r="O67" s="713"/>
      <c r="P67" s="713"/>
      <c r="Q67" s="714"/>
      <c r="R67" s="133"/>
      <c r="S67" s="273"/>
      <c r="T67" s="644"/>
      <c r="U67" s="645"/>
      <c r="V67" s="646"/>
      <c r="AA67" s="214"/>
      <c r="AB67" s="214"/>
      <c r="AC67" s="214"/>
      <c r="AD67" s="214"/>
      <c r="AE67" s="214"/>
      <c r="AF67" s="214"/>
      <c r="AI67" s="134"/>
      <c r="AJ67" s="134"/>
      <c r="AK67" s="134"/>
      <c r="AL67" s="134"/>
      <c r="AN67" s="152"/>
    </row>
    <row r="68" spans="1:44" x14ac:dyDescent="0.2">
      <c r="A68" s="715"/>
      <c r="B68" s="715"/>
      <c r="C68" s="715"/>
      <c r="D68" s="715"/>
      <c r="E68" s="715"/>
      <c r="F68" s="715"/>
      <c r="G68" s="715"/>
      <c r="H68" s="715"/>
      <c r="I68" s="715"/>
      <c r="J68" s="715"/>
      <c r="K68" s="715"/>
      <c r="L68" s="715"/>
      <c r="M68" s="715"/>
      <c r="N68" s="715"/>
      <c r="O68" s="715"/>
      <c r="P68" s="715"/>
      <c r="Q68" s="716"/>
      <c r="R68" s="133"/>
      <c r="S68" s="273" t="s">
        <v>103</v>
      </c>
      <c r="T68" s="647"/>
      <c r="U68" s="648"/>
      <c r="V68" s="649"/>
      <c r="AA68" s="214"/>
      <c r="AB68" s="214"/>
      <c r="AC68" s="214"/>
      <c r="AD68" s="214"/>
      <c r="AE68" s="214"/>
      <c r="AF68" s="214"/>
      <c r="AI68" s="134"/>
      <c r="AJ68" s="134"/>
      <c r="AK68" s="134"/>
      <c r="AL68" s="134"/>
      <c r="AN68" s="152"/>
    </row>
    <row r="69" spans="1:44" x14ac:dyDescent="0.2">
      <c r="A69" s="30"/>
      <c r="B69" s="30"/>
      <c r="C69" s="30"/>
      <c r="D69" s="30"/>
      <c r="E69" s="52"/>
      <c r="F69" s="52"/>
      <c r="G69" s="52"/>
      <c r="H69" s="52"/>
      <c r="I69" s="52"/>
      <c r="J69" s="52"/>
      <c r="K69" s="215"/>
      <c r="L69" s="133"/>
      <c r="M69" s="133"/>
      <c r="N69" s="133"/>
      <c r="O69" s="133"/>
      <c r="P69" s="133"/>
      <c r="Q69" s="133"/>
      <c r="R69" s="133"/>
      <c r="S69" s="214"/>
      <c r="T69" s="214"/>
      <c r="U69" s="522"/>
      <c r="V69" s="214"/>
      <c r="W69" s="214"/>
      <c r="AB69" s="214"/>
      <c r="AC69" s="214"/>
      <c r="AD69" s="214"/>
      <c r="AE69" s="214"/>
      <c r="AF69" s="214"/>
      <c r="AG69" s="214"/>
      <c r="AJ69" s="134"/>
      <c r="AK69" s="134"/>
      <c r="AL69" s="134"/>
      <c r="AM69" s="134"/>
    </row>
    <row r="70" spans="1:44" x14ac:dyDescent="0.2">
      <c r="A70" s="30"/>
      <c r="B70" s="30"/>
      <c r="C70" s="30"/>
      <c r="D70" s="30"/>
      <c r="E70" s="52"/>
      <c r="F70" s="52"/>
      <c r="G70" s="52"/>
      <c r="H70" s="52"/>
      <c r="I70" s="52"/>
      <c r="J70" s="52"/>
      <c r="K70" s="215"/>
      <c r="L70" s="133"/>
      <c r="M70" s="133"/>
      <c r="N70" s="133"/>
      <c r="O70" s="133"/>
      <c r="P70" s="133"/>
      <c r="Q70" s="133"/>
      <c r="R70" s="133"/>
      <c r="S70" s="214"/>
      <c r="T70" s="214"/>
      <c r="U70" s="214"/>
      <c r="V70" s="214"/>
      <c r="W70" s="214"/>
      <c r="X70" s="214"/>
      <c r="Y70" s="214"/>
      <c r="Z70" s="494"/>
      <c r="AA70" s="214"/>
      <c r="AB70" s="214"/>
      <c r="AC70" s="214"/>
      <c r="AD70" s="214"/>
      <c r="AE70" s="214"/>
      <c r="AF70" s="214"/>
      <c r="AG70" s="214"/>
      <c r="AJ70" s="134"/>
      <c r="AK70" s="134"/>
      <c r="AL70" s="134"/>
      <c r="AM70" s="134"/>
    </row>
    <row r="71" spans="1:44" x14ac:dyDescent="0.2">
      <c r="A71" s="30"/>
      <c r="B71" s="30"/>
      <c r="C71" s="30"/>
      <c r="D71" s="30"/>
      <c r="E71" s="52"/>
      <c r="F71" s="52"/>
      <c r="G71" s="52"/>
      <c r="H71" s="52"/>
      <c r="I71" s="52"/>
      <c r="J71" s="52"/>
      <c r="K71" s="215"/>
      <c r="L71" s="133"/>
      <c r="M71" s="133"/>
      <c r="N71" s="133"/>
      <c r="O71" s="133"/>
      <c r="P71" s="133"/>
      <c r="Q71" s="133"/>
      <c r="R71" s="133"/>
      <c r="S71" s="214"/>
      <c r="T71" s="214"/>
      <c r="U71" s="214"/>
      <c r="V71" s="214"/>
      <c r="W71" s="214"/>
      <c r="X71" s="214"/>
      <c r="Y71" s="214"/>
      <c r="Z71" s="214"/>
      <c r="AA71" s="214"/>
      <c r="AB71" s="214"/>
      <c r="AC71" s="214"/>
      <c r="AD71" s="214"/>
      <c r="AE71" s="214"/>
      <c r="AF71" s="214"/>
      <c r="AG71" s="214"/>
      <c r="AJ71" s="134"/>
      <c r="AK71" s="134"/>
      <c r="AL71" s="134"/>
      <c r="AM71" s="134"/>
    </row>
    <row r="72" spans="1:44" x14ac:dyDescent="0.2">
      <c r="A72" s="30"/>
      <c r="B72" s="30"/>
      <c r="C72" s="30"/>
      <c r="D72" s="30"/>
      <c r="E72" s="52"/>
      <c r="F72" s="52"/>
      <c r="G72" s="52"/>
      <c r="H72" s="52"/>
      <c r="I72" s="52"/>
      <c r="J72" s="52"/>
      <c r="K72" s="215"/>
      <c r="L72" s="133"/>
      <c r="M72" s="133"/>
      <c r="N72" s="133"/>
      <c r="O72" s="133"/>
      <c r="P72" s="133"/>
      <c r="Q72" s="133"/>
      <c r="R72" s="133"/>
      <c r="S72" s="214"/>
      <c r="T72" s="214"/>
      <c r="U72" s="214"/>
      <c r="V72" s="214"/>
      <c r="W72" s="214"/>
      <c r="X72" s="214"/>
      <c r="Y72" s="214"/>
      <c r="Z72" s="214"/>
      <c r="AA72" s="214"/>
      <c r="AB72" s="214"/>
      <c r="AC72" s="214"/>
      <c r="AD72" s="214"/>
      <c r="AE72" s="214"/>
      <c r="AF72" s="214"/>
      <c r="AG72" s="214"/>
      <c r="AJ72" s="134"/>
      <c r="AK72" s="134"/>
      <c r="AL72" s="134"/>
      <c r="AM72" s="134"/>
    </row>
    <row r="73" spans="1:44" x14ac:dyDescent="0.2">
      <c r="A73" s="30"/>
      <c r="B73" s="30"/>
      <c r="C73" s="30"/>
      <c r="D73" s="30"/>
      <c r="E73" s="52"/>
      <c r="F73" s="52"/>
      <c r="G73" s="52"/>
      <c r="H73" s="52"/>
      <c r="I73" s="52"/>
      <c r="J73" s="52"/>
      <c r="K73" s="215"/>
      <c r="L73" s="133"/>
      <c r="M73" s="133"/>
      <c r="N73" s="133"/>
      <c r="O73" s="133"/>
      <c r="P73" s="133"/>
      <c r="Q73" s="133"/>
      <c r="R73" s="133"/>
      <c r="S73" s="214"/>
      <c r="T73" s="214"/>
      <c r="U73" s="214"/>
      <c r="V73" s="214"/>
      <c r="W73" s="214"/>
      <c r="X73" s="214"/>
      <c r="Y73" s="214"/>
      <c r="Z73" s="214"/>
      <c r="AA73" s="214"/>
      <c r="AB73" s="214"/>
      <c r="AC73" s="214"/>
      <c r="AD73" s="214"/>
      <c r="AE73" s="214"/>
      <c r="AF73" s="214"/>
      <c r="AG73" s="214"/>
      <c r="AJ73" s="134"/>
      <c r="AK73" s="134"/>
      <c r="AL73" s="134"/>
      <c r="AM73" s="134"/>
    </row>
    <row r="74" spans="1:44" x14ac:dyDescent="0.2">
      <c r="A74" s="30"/>
      <c r="B74" s="30"/>
      <c r="C74" s="30"/>
      <c r="D74" s="30"/>
      <c r="E74" s="52"/>
      <c r="F74" s="52"/>
      <c r="G74" s="52"/>
      <c r="H74" s="52"/>
      <c r="I74" s="52"/>
      <c r="J74" s="52"/>
      <c r="K74" s="215"/>
      <c r="L74" s="133"/>
      <c r="M74" s="133"/>
      <c r="N74" s="133"/>
      <c r="O74" s="133"/>
      <c r="P74" s="133"/>
      <c r="Q74" s="133"/>
      <c r="R74" s="133"/>
      <c r="S74" s="214"/>
      <c r="T74" s="214"/>
      <c r="U74" s="214"/>
      <c r="V74" s="214"/>
      <c r="W74" s="214"/>
      <c r="X74" s="214"/>
      <c r="Y74" s="214"/>
      <c r="Z74" s="214"/>
      <c r="AA74" s="214"/>
      <c r="AB74" s="214"/>
      <c r="AC74" s="214"/>
      <c r="AD74" s="214"/>
      <c r="AE74" s="214"/>
      <c r="AF74" s="214"/>
      <c r="AG74" s="214"/>
      <c r="AJ74" s="134"/>
      <c r="AK74" s="134"/>
      <c r="AL74" s="134"/>
      <c r="AM74" s="134"/>
    </row>
    <row r="75" spans="1:44" x14ac:dyDescent="0.2">
      <c r="A75" s="30"/>
      <c r="B75" s="30"/>
      <c r="C75" s="30"/>
      <c r="D75" s="30"/>
      <c r="E75" s="52"/>
      <c r="F75" s="52"/>
      <c r="G75" s="52"/>
      <c r="H75" s="52"/>
      <c r="I75" s="52"/>
      <c r="J75" s="52"/>
      <c r="K75" s="215"/>
      <c r="L75" s="133"/>
      <c r="M75" s="133"/>
      <c r="N75" s="133"/>
      <c r="O75" s="482"/>
      <c r="P75" s="133"/>
      <c r="Q75" s="133"/>
      <c r="R75" s="133"/>
      <c r="S75" s="214"/>
      <c r="T75" s="214"/>
      <c r="U75" s="214"/>
      <c r="V75" s="214"/>
      <c r="W75" s="214"/>
      <c r="X75" s="214"/>
      <c r="Y75" s="214"/>
      <c r="Z75" s="214"/>
      <c r="AA75" s="214"/>
      <c r="AB75" s="214"/>
      <c r="AC75" s="214"/>
      <c r="AD75" s="214"/>
      <c r="AE75" s="214"/>
      <c r="AF75" s="214"/>
      <c r="AG75" s="214"/>
      <c r="AJ75" s="134"/>
      <c r="AK75" s="134"/>
      <c r="AL75" s="134"/>
      <c r="AM75" s="134"/>
    </row>
    <row r="76" spans="1:44" x14ac:dyDescent="0.2">
      <c r="A76" s="30"/>
      <c r="B76" s="30"/>
      <c r="C76" s="30"/>
      <c r="D76" s="30"/>
      <c r="E76" s="52"/>
      <c r="F76" s="52"/>
      <c r="G76" s="52"/>
      <c r="H76" s="52"/>
      <c r="I76" s="52"/>
      <c r="J76" s="52"/>
      <c r="K76" s="215"/>
      <c r="L76" s="133"/>
      <c r="M76" s="133"/>
      <c r="N76" s="133"/>
      <c r="O76" s="482"/>
      <c r="P76" s="133"/>
      <c r="Q76" s="133"/>
      <c r="R76" s="133"/>
      <c r="S76" s="214"/>
      <c r="T76" s="214"/>
      <c r="U76" s="214"/>
      <c r="V76" s="214"/>
      <c r="W76" s="214"/>
      <c r="X76" s="214"/>
      <c r="Y76" s="214"/>
      <c r="Z76" s="214"/>
      <c r="AA76" s="214"/>
      <c r="AB76" s="214"/>
      <c r="AC76" s="214"/>
      <c r="AD76" s="214"/>
      <c r="AE76" s="214"/>
      <c r="AF76" s="214"/>
      <c r="AG76" s="214"/>
      <c r="AJ76" s="134"/>
      <c r="AK76" s="134"/>
      <c r="AL76" s="134"/>
      <c r="AM76" s="134"/>
    </row>
    <row r="77" spans="1:44" hidden="1" x14ac:dyDescent="0.2">
      <c r="A77" s="30"/>
      <c r="B77" s="30"/>
      <c r="C77" s="30"/>
      <c r="D77" s="30"/>
      <c r="E77" s="52"/>
      <c r="F77" s="52"/>
      <c r="G77" s="52"/>
      <c r="H77" s="52"/>
      <c r="I77" s="52"/>
      <c r="J77" s="52"/>
      <c r="K77" s="215"/>
      <c r="L77" s="133"/>
      <c r="M77" s="133"/>
      <c r="N77" s="133"/>
      <c r="O77" s="482"/>
      <c r="P77" s="133"/>
      <c r="Q77" s="133"/>
      <c r="R77" s="133"/>
      <c r="S77" s="214"/>
      <c r="T77" s="214"/>
      <c r="U77" s="214"/>
      <c r="V77" s="214"/>
      <c r="W77" s="214"/>
      <c r="X77" s="214"/>
      <c r="Y77" s="214"/>
      <c r="Z77" s="214"/>
      <c r="AA77" s="214"/>
      <c r="AB77" s="214"/>
      <c r="AC77" s="214"/>
      <c r="AD77" s="214"/>
      <c r="AE77" s="214"/>
      <c r="AF77" s="214"/>
      <c r="AG77" s="214"/>
      <c r="AJ77" s="216"/>
      <c r="AK77" s="216"/>
      <c r="AL77" s="216"/>
      <c r="AM77" s="216"/>
    </row>
    <row r="78" spans="1:44" hidden="1" x14ac:dyDescent="0.2">
      <c r="J78" s="152"/>
      <c r="L78" s="361" t="s">
        <v>182</v>
      </c>
      <c r="M78" t="s">
        <v>183</v>
      </c>
      <c r="N78" t="s">
        <v>184</v>
      </c>
      <c r="O78" t="s">
        <v>181</v>
      </c>
      <c r="P78" t="s">
        <v>185</v>
      </c>
      <c r="AI78" s="81"/>
      <c r="AJ78" s="81"/>
      <c r="AK78" s="81"/>
      <c r="AL78" s="81"/>
      <c r="AM78" s="81"/>
    </row>
    <row r="79" spans="1:44" ht="13.5" hidden="1" thickBot="1" x14ac:dyDescent="0.25">
      <c r="E79" s="73" t="s">
        <v>13</v>
      </c>
      <c r="F79" s="76"/>
      <c r="G79" s="76"/>
      <c r="H79" s="13" t="s">
        <v>10</v>
      </c>
      <c r="I79" s="128"/>
      <c r="J79" s="128"/>
      <c r="K79" s="128"/>
      <c r="L79" s="128"/>
      <c r="M79" s="487">
        <f>M39</f>
        <v>0</v>
      </c>
      <c r="N79" s="487">
        <f>N39</f>
        <v>0</v>
      </c>
      <c r="O79" s="487">
        <f>O39</f>
        <v>0</v>
      </c>
      <c r="P79" s="151">
        <f>P39</f>
        <v>0</v>
      </c>
      <c r="Q79" s="66">
        <f t="shared" ref="Q79:Q99" si="19">SUM(M79:P79)</f>
        <v>0</v>
      </c>
      <c r="R79" s="133"/>
      <c r="S79" s="486"/>
      <c r="T79" s="486"/>
      <c r="U79" s="486"/>
      <c r="V79" s="486"/>
      <c r="W79" s="486"/>
      <c r="X79" s="486"/>
      <c r="Y79" s="133"/>
      <c r="Z79" s="211"/>
      <c r="AA79" s="133"/>
      <c r="AB79" s="133"/>
      <c r="AC79" s="133"/>
      <c r="AD79" s="133"/>
      <c r="AE79" s="133"/>
      <c r="AF79" s="133"/>
      <c r="AG79" s="133"/>
      <c r="AI79" s="94"/>
      <c r="AJ79" s="34"/>
      <c r="AK79" s="34"/>
      <c r="AL79" s="34"/>
      <c r="AM79" s="78"/>
      <c r="AR79" s="70"/>
    </row>
    <row r="80" spans="1:44" hidden="1" x14ac:dyDescent="0.2">
      <c r="E80" s="74" t="s">
        <v>14</v>
      </c>
      <c r="F80" s="77"/>
      <c r="G80" s="77"/>
      <c r="H80" s="3"/>
      <c r="I80" s="3"/>
      <c r="J80" s="3"/>
      <c r="K80" s="3"/>
      <c r="L80" s="3"/>
      <c r="M80" s="69">
        <f>IF(ISERROR(M79-M43),0,M79-M43)</f>
        <v>0</v>
      </c>
      <c r="N80" s="69">
        <f>IF(ISERROR(N79-N43),0,N79-N43)</f>
        <v>0</v>
      </c>
      <c r="O80" s="69">
        <f>IF(ISERROR(O79-O43),0,O79-O43)</f>
        <v>0</v>
      </c>
      <c r="P80" s="69">
        <f>IF(ISERROR(P79-P43),0,P79-P43)</f>
        <v>0</v>
      </c>
      <c r="Q80" s="68">
        <f t="shared" si="19"/>
        <v>0</v>
      </c>
      <c r="R80" s="134"/>
      <c r="S80" s="134"/>
      <c r="T80" s="134"/>
      <c r="U80" s="134"/>
      <c r="V80" s="134"/>
      <c r="W80" s="134"/>
      <c r="X80" s="134"/>
      <c r="Y80" s="134"/>
      <c r="Z80" s="134"/>
      <c r="AA80" s="134"/>
      <c r="AB80" s="134"/>
      <c r="AC80" s="134"/>
      <c r="AD80" s="134"/>
      <c r="AE80" s="134"/>
      <c r="AF80" s="134"/>
      <c r="AG80" s="134"/>
      <c r="AI80" s="80"/>
      <c r="AJ80" s="91"/>
      <c r="AK80" s="87"/>
      <c r="AL80" s="91"/>
      <c r="AM80" s="127"/>
    </row>
    <row r="81" spans="5:39" hidden="1" x14ac:dyDescent="0.2">
      <c r="E81" s="74" t="s">
        <v>15</v>
      </c>
      <c r="F81" s="77"/>
      <c r="G81" s="77"/>
      <c r="H81" s="9" t="s">
        <v>11</v>
      </c>
      <c r="I81" s="9"/>
      <c r="J81" s="9"/>
      <c r="K81" s="9"/>
      <c r="L81" s="9"/>
      <c r="M81" s="68">
        <f>IF(ISERROR(M79-M43-M44),0,M79-M43-M44)</f>
        <v>0</v>
      </c>
      <c r="N81" s="68">
        <f>IF(ISERROR(N79-N43-N44),0,N79-N43-N44)</f>
        <v>0</v>
      </c>
      <c r="O81" s="68">
        <f>IF(ISERROR(O79-O43-O44),0,O79-O43-O44)</f>
        <v>0</v>
      </c>
      <c r="P81" s="68">
        <f>IF(ISERROR(P79-P43-P44),0,P79-P43-P44)</f>
        <v>0</v>
      </c>
      <c r="Q81" s="68">
        <f t="shared" si="19"/>
        <v>0</v>
      </c>
      <c r="R81" s="134"/>
      <c r="S81" s="134"/>
      <c r="T81" s="134"/>
      <c r="U81" s="134"/>
      <c r="V81" s="134"/>
      <c r="W81" s="134"/>
      <c r="X81" s="134"/>
      <c r="Y81" s="134">
        <f>Y80-Y79</f>
        <v>0</v>
      </c>
      <c r="Z81" s="134"/>
      <c r="AA81" s="134"/>
      <c r="AB81" s="134"/>
      <c r="AC81" s="134"/>
      <c r="AD81" s="134"/>
      <c r="AE81" s="134"/>
      <c r="AF81" s="134"/>
      <c r="AG81" s="134"/>
      <c r="AI81" s="95"/>
      <c r="AJ81" s="78"/>
      <c r="AK81" s="96"/>
      <c r="AL81" s="34"/>
      <c r="AM81" s="88"/>
    </row>
    <row r="82" spans="5:39" hidden="1" x14ac:dyDescent="0.2">
      <c r="E82" s="75"/>
      <c r="F82" s="78"/>
      <c r="G82" s="78"/>
      <c r="H82" s="7"/>
      <c r="I82" s="7"/>
      <c r="J82" s="7"/>
      <c r="K82" s="7"/>
      <c r="L82" s="7"/>
      <c r="M82" s="69">
        <f>IF(ISERROR(M79-M43-M44-M45),0,M79-M43-M44-M45)</f>
        <v>0</v>
      </c>
      <c r="N82" s="69">
        <f>IF(ISERROR(N79-N43-N44-N45),0,N79-N43-N44-N45)</f>
        <v>0</v>
      </c>
      <c r="O82" s="69">
        <f>IF(ISERROR(O79-O43-O44-O45),0,O79-O43-O44-O45)</f>
        <v>0</v>
      </c>
      <c r="P82" s="69">
        <f>IF(ISERROR(P79-P43-P44-P45),0,P79-P43-P44-P45)</f>
        <v>0</v>
      </c>
      <c r="Q82" s="68">
        <f t="shared" si="19"/>
        <v>0</v>
      </c>
      <c r="R82" s="134"/>
      <c r="S82" s="134"/>
      <c r="T82" s="134"/>
      <c r="U82" s="134"/>
      <c r="V82" s="134"/>
      <c r="W82" s="134"/>
      <c r="X82" s="134"/>
      <c r="Y82" s="134"/>
      <c r="Z82" s="134"/>
      <c r="AA82" s="134"/>
      <c r="AB82" s="134"/>
      <c r="AC82" s="134"/>
      <c r="AD82" s="134"/>
      <c r="AE82" s="134"/>
      <c r="AF82" s="134"/>
      <c r="AG82" s="134"/>
      <c r="AI82" s="84"/>
      <c r="AJ82" s="86"/>
      <c r="AK82" s="85"/>
      <c r="AL82" s="85"/>
      <c r="AM82" s="86"/>
    </row>
    <row r="83" spans="5:39" hidden="1" x14ac:dyDescent="0.2">
      <c r="E83" s="75"/>
      <c r="F83" s="78"/>
      <c r="G83" s="78"/>
      <c r="H83" s="7"/>
      <c r="I83" s="7"/>
      <c r="J83" s="7"/>
      <c r="K83" s="7"/>
      <c r="L83" s="7"/>
      <c r="M83" s="68">
        <f>IF(ISERROR(M79-M43-M44-M45-M46),0,M79-M43-M44-M45-M46)</f>
        <v>0</v>
      </c>
      <c r="N83" s="68">
        <f>IF(ISERROR(N79-N43-N44-N45-N46),0,N79-N43-N44-N45-N46)</f>
        <v>0</v>
      </c>
      <c r="O83" s="68">
        <f>IF(ISERROR(O79-O43-O44-O45-O46),0,O79-O43-O44-O45-O46)</f>
        <v>0</v>
      </c>
      <c r="P83" s="68">
        <f>IF(ISERROR(P79-P43-P44-P45-P46),0,P79-P43-P44-P45-P46)</f>
        <v>0</v>
      </c>
      <c r="Q83" s="68">
        <f t="shared" si="19"/>
        <v>0</v>
      </c>
      <c r="R83" s="134"/>
      <c r="S83" s="134"/>
      <c r="T83" s="134"/>
      <c r="U83" s="134"/>
      <c r="V83" s="134"/>
      <c r="W83" s="134"/>
      <c r="X83" s="134"/>
      <c r="Y83" s="134"/>
      <c r="Z83" s="134"/>
      <c r="AA83" s="134"/>
      <c r="AB83" s="134"/>
      <c r="AC83" s="134"/>
      <c r="AD83" s="134"/>
      <c r="AE83" s="134"/>
      <c r="AF83" s="134"/>
      <c r="AG83" s="134"/>
      <c r="AI83" s="89"/>
      <c r="AJ83" s="93"/>
      <c r="AK83" s="91"/>
      <c r="AL83" s="92"/>
      <c r="AM83" s="93"/>
    </row>
    <row r="84" spans="5:39" hidden="1" x14ac:dyDescent="0.2">
      <c r="E84" s="75"/>
      <c r="F84" s="78"/>
      <c r="G84" s="78"/>
      <c r="H84" s="7"/>
      <c r="I84" s="7"/>
      <c r="J84" s="7"/>
      <c r="K84" s="7"/>
      <c r="L84" s="7"/>
      <c r="M84" s="69">
        <f>IF(ISERROR(M79-M43-M44-M45-M46-M47),0,M79-M43-M44-M45-M46-M47)</f>
        <v>0</v>
      </c>
      <c r="N84" s="69">
        <f>IF(ISERROR(N79-N43-N44-N45-N46-N47),0,N79-N43-N44-N45-N46-N47)</f>
        <v>0</v>
      </c>
      <c r="O84" s="69">
        <f>IF(ISERROR(O79-O43-O44-O45-O46-O47),0,O79-O43-O44-O45-O46-O47)</f>
        <v>0</v>
      </c>
      <c r="P84" s="69">
        <f>IF(ISERROR(P79-P43-P44-P45-P46-P47),0,P79-P43-P44-P45-P46-P47)</f>
        <v>0</v>
      </c>
      <c r="Q84" s="68">
        <f t="shared" si="19"/>
        <v>0</v>
      </c>
      <c r="R84" s="134"/>
      <c r="S84" s="134"/>
      <c r="T84" s="134"/>
      <c r="U84" s="134"/>
      <c r="V84" s="134"/>
      <c r="W84" s="134"/>
      <c r="X84" s="134"/>
      <c r="Y84" s="134"/>
      <c r="Z84" s="134"/>
      <c r="AA84" s="134"/>
      <c r="AB84" s="134"/>
      <c r="AC84" s="134"/>
      <c r="AD84" s="134"/>
      <c r="AE84" s="134"/>
      <c r="AF84" s="134"/>
      <c r="AG84" s="134"/>
      <c r="AI84" s="89"/>
      <c r="AJ84" s="111"/>
      <c r="AK84" s="91"/>
      <c r="AL84" s="90"/>
      <c r="AM84" s="97"/>
    </row>
    <row r="85" spans="5:39" hidden="1" x14ac:dyDescent="0.2">
      <c r="E85" s="75"/>
      <c r="F85" s="78"/>
      <c r="G85" s="78"/>
      <c r="H85" s="7"/>
      <c r="I85" s="7"/>
      <c r="J85" s="7"/>
      <c r="K85" s="7"/>
      <c r="L85" s="7"/>
      <c r="M85" s="68">
        <f>IF(ISERROR(M79-M43-M44-M45-M46-M47-M48),0,M79-M43-M44-M45-M46-M47-M48)</f>
        <v>0</v>
      </c>
      <c r="N85" s="68">
        <f>IF(ISERROR(N79-N43-N44-N45-N46-N47-N48),0,N79-N43-N44-N45-N46-N47-N48)</f>
        <v>0</v>
      </c>
      <c r="O85" s="68">
        <f>IF(ISERROR(O79-O43-O44-O45-O46-O47-O48),0,O79-O43-O44-O45-O46-O47-O48)</f>
        <v>0</v>
      </c>
      <c r="P85" s="68">
        <f>IF(ISERROR(P79-P43-P44-P45-P46-P47-P48),0,P79-P43-P44-P45-P46-P47-P48)</f>
        <v>0</v>
      </c>
      <c r="Q85" s="68">
        <f t="shared" si="19"/>
        <v>0</v>
      </c>
      <c r="R85" s="134"/>
      <c r="S85" s="134"/>
      <c r="T85" s="134"/>
      <c r="U85" s="134"/>
      <c r="V85" s="134"/>
      <c r="W85" s="134"/>
      <c r="X85" s="134"/>
      <c r="Y85" s="134"/>
      <c r="Z85" s="134"/>
      <c r="AA85" s="134"/>
      <c r="AB85" s="134"/>
      <c r="AC85" s="134"/>
      <c r="AD85" s="134"/>
      <c r="AE85" s="134"/>
      <c r="AF85" s="134"/>
      <c r="AG85" s="134"/>
      <c r="AI85" s="89"/>
      <c r="AJ85" s="111"/>
      <c r="AK85" s="91"/>
      <c r="AL85" s="90"/>
      <c r="AM85" s="97"/>
    </row>
    <row r="86" spans="5:39" hidden="1" x14ac:dyDescent="0.2">
      <c r="E86" s="75"/>
      <c r="F86" s="78"/>
      <c r="G86" s="78"/>
      <c r="H86" s="7"/>
      <c r="I86" s="7"/>
      <c r="J86" s="7"/>
      <c r="K86" s="7"/>
      <c r="L86" s="7"/>
      <c r="M86" s="69">
        <f>IF(ISERROR(M79-M43-M44-M45-M46-M47-M48-M49),0,M79-M43-M44-M45-M46-M47-M48-M49)</f>
        <v>0</v>
      </c>
      <c r="N86" s="69">
        <f>IF(ISERROR(N79-N43-N44-N45-N46-N47-N48-N49),0,N79-N43-N44-N45-N46-N47-N48-N49)</f>
        <v>0</v>
      </c>
      <c r="O86" s="69">
        <f>IF(ISERROR(O79-O43-O44-O45-O46-O47-O48-O49),0,O79-O43-O44-O45-O46-O47-O48-O49)</f>
        <v>0</v>
      </c>
      <c r="P86" s="69">
        <f>IF(ISERROR(P79-P43-P44-P45-P46-P47-P48-P49),0,P79-P43-P44-P45-P46-P47-P48-P49)</f>
        <v>0</v>
      </c>
      <c r="Q86" s="68">
        <f t="shared" si="19"/>
        <v>0</v>
      </c>
      <c r="R86" s="134"/>
      <c r="S86" s="134"/>
      <c r="T86" s="134"/>
      <c r="U86" s="134"/>
      <c r="V86" s="134"/>
      <c r="W86" s="134"/>
      <c r="X86" s="134"/>
      <c r="Y86" s="134"/>
      <c r="Z86" s="134"/>
      <c r="AA86" s="134"/>
      <c r="AB86" s="134"/>
      <c r="AC86" s="134"/>
      <c r="AD86" s="134"/>
      <c r="AE86" s="134"/>
      <c r="AF86" s="134"/>
      <c r="AG86" s="134"/>
      <c r="AI86" s="89"/>
      <c r="AJ86" s="111"/>
      <c r="AK86" s="91"/>
      <c r="AL86" s="90"/>
      <c r="AM86" s="97"/>
    </row>
    <row r="87" spans="5:39" hidden="1" x14ac:dyDescent="0.2">
      <c r="E87" s="75"/>
      <c r="F87" s="78"/>
      <c r="G87" s="78"/>
      <c r="H87" s="7"/>
      <c r="I87" s="7"/>
      <c r="J87" s="7"/>
      <c r="K87" s="7"/>
      <c r="L87" s="7"/>
      <c r="M87" s="68">
        <f>IF(ISERROR(M79-M43-M44-M45-M46-M47-M48-M49-M50),0,M79-M43-M44-M45-M46-M47-M48-M49-M50)</f>
        <v>0</v>
      </c>
      <c r="N87" s="68">
        <f>IF(ISERROR(N79-N43-N44-N45-N46-N47-N48-N49-N50),0,N79-N43-N44-N45-N46-N47-N48-N49-N50)</f>
        <v>0</v>
      </c>
      <c r="O87" s="68">
        <f>IF(ISERROR(O79-O43-O44-O45-O46-O47-O48-O49-O50),0,O79-O43-O44-O45-O46-O47-O48-O49-O50)</f>
        <v>0</v>
      </c>
      <c r="P87" s="68">
        <f>IF(ISERROR(P79-P43-P44-P45-P46-P47-P48-P49-P50),0,P79-P43-P44-P45-P46-P47-P48-P49-P50)</f>
        <v>0</v>
      </c>
      <c r="Q87" s="68">
        <f t="shared" si="19"/>
        <v>0</v>
      </c>
      <c r="R87" s="134"/>
      <c r="S87" s="134"/>
      <c r="T87" s="134"/>
      <c r="U87" s="134"/>
      <c r="V87" s="134"/>
      <c r="W87" s="134"/>
      <c r="X87" s="134"/>
      <c r="Y87" s="134"/>
      <c r="Z87" s="134"/>
      <c r="AA87" s="134"/>
      <c r="AB87" s="134"/>
      <c r="AC87" s="134"/>
      <c r="AD87" s="134"/>
      <c r="AE87" s="134"/>
      <c r="AF87" s="134"/>
      <c r="AG87" s="134"/>
      <c r="AI87" s="89"/>
      <c r="AJ87" s="111"/>
      <c r="AK87" s="91"/>
      <c r="AL87" s="90"/>
      <c r="AM87" s="97"/>
    </row>
    <row r="88" spans="5:39" hidden="1" x14ac:dyDescent="0.2">
      <c r="E88" s="75"/>
      <c r="F88" s="78"/>
      <c r="G88" s="78"/>
      <c r="H88" s="7"/>
      <c r="I88" s="7"/>
      <c r="J88" s="7"/>
      <c r="K88" s="7"/>
      <c r="L88" s="7"/>
      <c r="M88" s="68">
        <f>IF(ISERROR(M79-M43-M44-M45-M46-M47-M48-M49-M50-M51),0,M79-M43-M44-M45-M46-M47-M48-M49-M50-M51)</f>
        <v>0</v>
      </c>
      <c r="N88" s="68">
        <f>IF(ISERROR(N79-N43-N44-N45-N46-N47-N48-N49-N50-N51),0,N79-N43-N44-N45-N46-N47-N48-N49-N50-N51)</f>
        <v>0</v>
      </c>
      <c r="O88" s="68">
        <f>IF(ISERROR(O79-O43-O44-O45-O46-O47-O48-O49-O50-O51),0,O79-O43-O44-O45-O46-O47-O48-O49-O50-O51)</f>
        <v>0</v>
      </c>
      <c r="P88" s="68">
        <f>IF(ISERROR(P79-P43-P44-P45-P46-P47-P48-P49-P50-P51),0,P79-P43-P44-P45-P46-P47-P48-P49-P50-P51)</f>
        <v>0</v>
      </c>
      <c r="Q88" s="68">
        <f t="shared" si="19"/>
        <v>0</v>
      </c>
      <c r="R88" s="134"/>
      <c r="S88" s="134"/>
      <c r="T88" s="134"/>
      <c r="U88" s="134"/>
      <c r="V88" s="134"/>
      <c r="W88" s="134"/>
      <c r="X88" s="134"/>
      <c r="Y88" s="134"/>
      <c r="Z88" s="134"/>
      <c r="AA88" s="134"/>
      <c r="AB88" s="134"/>
      <c r="AC88" s="134"/>
      <c r="AD88" s="134"/>
      <c r="AE88" s="134"/>
      <c r="AF88" s="134"/>
      <c r="AG88" s="134"/>
      <c r="AI88" s="337"/>
      <c r="AJ88" s="338"/>
      <c r="AK88" s="30"/>
      <c r="AL88" s="339"/>
      <c r="AM88" s="340"/>
    </row>
    <row r="89" spans="5:39" hidden="1" x14ac:dyDescent="0.2">
      <c r="E89" s="75"/>
      <c r="F89" s="78"/>
      <c r="G89" s="78"/>
      <c r="H89" s="7"/>
      <c r="I89" s="7"/>
      <c r="J89" s="7"/>
      <c r="K89" s="7"/>
      <c r="L89" s="7"/>
      <c r="M89" s="68">
        <f>IF(ISERROR(M79-M43-M44-M45-M46-M47-M48-M49-M50-M51-M52),0,M79-M43-M44-M45-M46-M47-M48-M49-M50-M51-M52)</f>
        <v>0</v>
      </c>
      <c r="N89" s="68">
        <f>IF(ISERROR(N79-N43-N44-N45-N46-N47-N48-N49-N50-N51-N52),0,N79-N43-N44-N45-N46-N47-N48-N49-N50-N51-N52)</f>
        <v>0</v>
      </c>
      <c r="O89" s="68">
        <f>IF(ISERROR(O79-O43-O44-O45-O46-O47-O48-O49-O50-O51-O52),0,O79-O43-O44-O45-O46-O47-O48-O49-O50-O51-O52)</f>
        <v>0</v>
      </c>
      <c r="P89" s="68">
        <f>IF(ISERROR(P79-P43-P44-P45-P46-P47-P48-P49-P50-P51-P52),0,P79-P43-P44-P45-P46-P47-P48-P49-P50-P51-P52)</f>
        <v>0</v>
      </c>
      <c r="Q89" s="68">
        <f t="shared" si="19"/>
        <v>0</v>
      </c>
      <c r="R89" s="134"/>
      <c r="S89" s="134"/>
      <c r="T89" s="134"/>
      <c r="U89" s="134"/>
      <c r="V89" s="134"/>
      <c r="W89" s="134"/>
      <c r="X89" s="134"/>
      <c r="Y89" s="134"/>
      <c r="Z89" s="134"/>
      <c r="AA89" s="134"/>
      <c r="AB89" s="134"/>
      <c r="AC89" s="134"/>
      <c r="AD89" s="134"/>
      <c r="AE89" s="134"/>
      <c r="AF89" s="134"/>
      <c r="AG89" s="134"/>
      <c r="AI89" s="337"/>
      <c r="AJ89" s="338"/>
      <c r="AK89" s="30"/>
      <c r="AL89" s="339"/>
      <c r="AM89" s="340"/>
    </row>
    <row r="90" spans="5:39" hidden="1" x14ac:dyDescent="0.2">
      <c r="E90" s="75"/>
      <c r="F90" s="78"/>
      <c r="G90" s="78"/>
      <c r="H90" s="7"/>
      <c r="I90" s="7"/>
      <c r="J90" s="7"/>
      <c r="K90" s="7"/>
      <c r="L90" s="7"/>
      <c r="M90" s="68">
        <f>IF(ISERROR(M79-M43-M44-M45-M46-M47-M48-M49-M50-M51-M52-M53),0,M79-M43-M44-M45-M46-M47-M48-M49-M50-M51-M52-M53)</f>
        <v>0</v>
      </c>
      <c r="N90" s="68">
        <f>IF(ISERROR(N79-N43-N44-N45-N46-N47-N48-N49-N50-N51-N52-N53),0,N79-N43-N44-N45-N46-N47-N48-N49-N50-N51-N52-N53)</f>
        <v>0</v>
      </c>
      <c r="O90" s="68">
        <f>IF(ISERROR(O79-O43-O44-O45-O46-O47-O48-O49-O50-O51-O52-O53),0,O79-O43-O44-O45-O46-O47-O48-O49-O50-O51-O52-O53)</f>
        <v>0</v>
      </c>
      <c r="P90" s="68">
        <f>IF(ISERROR(P79-P43-P44-P45-P46-P47-P48-P49-P50-P51-P52-P53),0,P79-P43-P44-P45-P46-P47-P48-P49-P50-P51-P52-P53)</f>
        <v>0</v>
      </c>
      <c r="Q90" s="68">
        <f t="shared" si="19"/>
        <v>0</v>
      </c>
      <c r="R90" s="134"/>
      <c r="S90" s="134"/>
      <c r="T90" s="134"/>
      <c r="U90" s="134"/>
      <c r="V90" s="134"/>
      <c r="W90" s="134"/>
      <c r="X90" s="134"/>
      <c r="Y90" s="134"/>
      <c r="Z90" s="134"/>
      <c r="AA90" s="134"/>
      <c r="AB90" s="134"/>
      <c r="AC90" s="134"/>
      <c r="AD90" s="134"/>
      <c r="AE90" s="134"/>
      <c r="AF90" s="134"/>
      <c r="AG90" s="134"/>
      <c r="AI90" s="337"/>
      <c r="AJ90" s="338"/>
      <c r="AK90" s="30"/>
      <c r="AL90" s="339"/>
      <c r="AM90" s="340"/>
    </row>
    <row r="91" spans="5:39" hidden="1" x14ac:dyDescent="0.2">
      <c r="E91" s="75"/>
      <c r="F91" s="78"/>
      <c r="G91" s="78"/>
      <c r="H91" s="7"/>
      <c r="I91" s="7"/>
      <c r="J91" s="7"/>
      <c r="K91" s="7"/>
      <c r="L91" s="7"/>
      <c r="M91" s="68">
        <f>IF(ISERROR(M79-M43-M44-M45-M46-M47-M48-M49-M50-M51-M52-M53-M54),0,M79-M43-M44-M45-M46-M47-M48-M49-M50-M51-M52-M53-M54)</f>
        <v>0</v>
      </c>
      <c r="N91" s="68">
        <f>IF(ISERROR(N79-N43-N44-N45-N46-N47-N48-N49-N50-N51-N52-N53-N54),0,N79-N43-N44-N45-N46-N47-N48-N49-N50-N51-N52-N53-N54)</f>
        <v>0</v>
      </c>
      <c r="O91" s="68">
        <f>IF(ISERROR(O79-O43-O44-O45-O46-O47-O48-O49-O50-O51-O52-O53-O54),0,O79-O43-O44-O45-O46-O47-O48-O49-O50-O51-O52-O53-O54)</f>
        <v>0</v>
      </c>
      <c r="P91" s="68">
        <f>IF(ISERROR(P79-P43-P44-P45-P46-P47-P48-P49-P50-P51-P52-P53-P54),0,P79-P43-P44-P45-P46-P47-P48-P49-P50-P51-P52-P53-P54)</f>
        <v>0</v>
      </c>
      <c r="Q91" s="68">
        <f t="shared" si="19"/>
        <v>0</v>
      </c>
      <c r="R91" s="134"/>
      <c r="S91" s="134"/>
      <c r="T91" s="134"/>
      <c r="U91" s="134"/>
      <c r="V91" s="134"/>
      <c r="W91" s="134"/>
      <c r="X91" s="134"/>
      <c r="Y91" s="134"/>
      <c r="Z91" s="134"/>
      <c r="AA91" s="134"/>
      <c r="AB91" s="134"/>
      <c r="AC91" s="134"/>
      <c r="AD91" s="134"/>
      <c r="AE91" s="134"/>
      <c r="AF91" s="134"/>
      <c r="AG91" s="134"/>
      <c r="AI91" s="337"/>
      <c r="AJ91" s="338"/>
      <c r="AK91" s="30"/>
      <c r="AL91" s="339"/>
      <c r="AM91" s="340"/>
    </row>
    <row r="92" spans="5:39" hidden="1" x14ac:dyDescent="0.2">
      <c r="E92" s="75"/>
      <c r="F92" s="78"/>
      <c r="G92" s="78"/>
      <c r="H92" s="7"/>
      <c r="I92" s="7"/>
      <c r="J92" s="7"/>
      <c r="K92" s="7"/>
      <c r="L92" s="7"/>
      <c r="M92" s="68">
        <f>IF(ISERROR(M79-M43-M44-M45-M46-M47-M48-M49-M50-M51-M52-M53-M54-M55),0,M79-M43-M44-M45-M46-M47-M48-M49-M50-M51-M52-M53-M54-M55)</f>
        <v>0</v>
      </c>
      <c r="N92" s="68">
        <f>IF(ISERROR(N79-N43-N44-N45-N46-N47-N48-N49-N50-N51-N52-N53-N54-N55),0,N79-N43-N44-N45-N46-N47-N48-N49-N50-N51-N52-N53-N54-N55)</f>
        <v>0</v>
      </c>
      <c r="O92" s="68">
        <f>IF(ISERROR(O79-O43-O44-O45-O46-O47-O48-O49-O50-O51-O52-O53-O54-O55),0,O79-O43-O44-O45-O46-O47-O48-O49-O50-O51-O52-O53-O54-O55)</f>
        <v>0</v>
      </c>
      <c r="P92" s="68">
        <f>IF(ISERROR(P79-P43-P44-P45-P46-P47-P48-P49-P50-P51-P52-P53-P54-P55),0,P79-P43-P44-P45-P46-P47-P48-P49-P50-P51-P52-P53-P54-P55)</f>
        <v>0</v>
      </c>
      <c r="Q92" s="68">
        <f t="shared" si="19"/>
        <v>0</v>
      </c>
      <c r="R92" s="134"/>
      <c r="S92" s="134"/>
      <c r="T92" s="134"/>
      <c r="U92" s="134"/>
      <c r="V92" s="134"/>
      <c r="W92" s="134"/>
      <c r="X92" s="134"/>
      <c r="Y92" s="134"/>
      <c r="Z92" s="134"/>
      <c r="AA92" s="134"/>
      <c r="AB92" s="134"/>
      <c r="AC92" s="134"/>
      <c r="AD92" s="134"/>
      <c r="AE92" s="134"/>
      <c r="AF92" s="134"/>
      <c r="AG92" s="134"/>
      <c r="AI92" s="337"/>
      <c r="AJ92" s="338"/>
      <c r="AK92" s="30"/>
      <c r="AL92" s="339"/>
      <c r="AM92" s="340"/>
    </row>
    <row r="93" spans="5:39" hidden="1" x14ac:dyDescent="0.2">
      <c r="E93" s="75"/>
      <c r="F93" s="78"/>
      <c r="G93" s="78"/>
      <c r="H93" s="7"/>
      <c r="I93" s="7"/>
      <c r="J93" s="7"/>
      <c r="K93" s="7"/>
      <c r="L93" s="7"/>
      <c r="M93" s="68">
        <f>IF(ISERROR(M79-M43-M44-M45-M46-M47-M48-M49-M50-M51-M52-M53-M54-M55-M56),0,M79-M43-M44-M45-M46-M47-M48-M49-M50-M51-M52-M53-M54-M55-M56)</f>
        <v>0</v>
      </c>
      <c r="N93" s="68">
        <f>IF(ISERROR(N79-N43-N44-N45-N46-N47-N48-N49-N50-N51-N52-N53-N54-N55-N56),0,N79-N43-N44-N45-N46-N47-N48-N49-N50-N51-N52-N53-N54-N55-N56)</f>
        <v>0</v>
      </c>
      <c r="O93" s="68">
        <f>IF(ISERROR(O79-O43-O44-O45-O46-O47-O48-O49-O50-O51-O52-O53-O54-O55-O56),0,O79-O43-O44-O45-O46-O47-O48-O49-O50-O51-O52-O53-O54-O55-O56)</f>
        <v>0</v>
      </c>
      <c r="P93" s="68">
        <f>IF(ISERROR(P79-P43-P44-P45-P46-P47-P48-P49-P50-P51-P52-P53-P54-P55-P56),0,P79-P43-P44-P45-P46-P47-P48-P49-P50-P51-P52-P53-P54-P55-P56)</f>
        <v>0</v>
      </c>
      <c r="Q93" s="68">
        <f t="shared" si="19"/>
        <v>0</v>
      </c>
      <c r="R93" s="134"/>
      <c r="S93" s="134"/>
      <c r="T93" s="134"/>
      <c r="U93" s="134"/>
      <c r="V93" s="134"/>
      <c r="W93" s="134"/>
      <c r="X93" s="134"/>
      <c r="Y93" s="134"/>
      <c r="Z93" s="134"/>
      <c r="AA93" s="134"/>
      <c r="AB93" s="134"/>
      <c r="AC93" s="134"/>
      <c r="AD93" s="134"/>
      <c r="AE93" s="134"/>
      <c r="AF93" s="134"/>
      <c r="AG93" s="134"/>
      <c r="AI93" s="337"/>
      <c r="AJ93" s="338"/>
      <c r="AK93" s="30"/>
      <c r="AL93" s="339"/>
      <c r="AM93" s="340"/>
    </row>
    <row r="94" spans="5:39" hidden="1" x14ac:dyDescent="0.2">
      <c r="E94" s="75"/>
      <c r="F94" s="78"/>
      <c r="G94" s="78"/>
      <c r="H94" s="7"/>
      <c r="I94" s="7"/>
      <c r="J94" s="7"/>
      <c r="K94" s="7"/>
      <c r="L94" s="7"/>
      <c r="M94" s="68">
        <f>IF(ISERROR(M79-M43-M44-M45-M46-M47-M48-M49-M50-M51-M52-M53-M54-M55-M56-M57),0,M79-M43-M44-M45-M46-M47-M48-M49-M50-M51-M52-M53-M54-M55-M56-M57)</f>
        <v>0</v>
      </c>
      <c r="N94" s="68">
        <f>IF(ISERROR(N79-N43-N44-N45-N46-N47-N48-N49-N50-N51-N52-N53-N54-N55-N56-N57),0,N79-N43-N44-N45-N46-N47-N48-N49-N50-N51-N52-N53-N54-N55-N56-N57)</f>
        <v>0</v>
      </c>
      <c r="O94" s="68">
        <f>IF(ISERROR(O79-O43-O44-O45-O46-O47-O48-O49-O50-O51-O52-O53-O54-O55-O56-O57),0,O79-O43-O44-O45-O46-O47-O48-O49-O50-O51-O52-O53-O54-O55-O56-O57)</f>
        <v>0</v>
      </c>
      <c r="P94" s="68">
        <f>IF(ISERROR(P79-P43-P44-P45-P46-P47-P48-P49-P50-P51-P52-P53-P54-P55-P56-P57),0,P79-P43-P44-P45-P46-P47-P48-P49-P50-P51-P52-P53-P54-P55-P56-P57)</f>
        <v>0</v>
      </c>
      <c r="Q94" s="68">
        <f t="shared" si="19"/>
        <v>0</v>
      </c>
      <c r="R94" s="134"/>
      <c r="S94" s="134"/>
      <c r="T94" s="134"/>
      <c r="U94" s="134"/>
      <c r="V94" s="134"/>
      <c r="W94" s="134"/>
      <c r="X94" s="134"/>
      <c r="Y94" s="134"/>
      <c r="Z94" s="134"/>
      <c r="AA94" s="134"/>
      <c r="AB94" s="134"/>
      <c r="AC94" s="134"/>
      <c r="AD94" s="134"/>
      <c r="AE94" s="134"/>
      <c r="AF94" s="134"/>
      <c r="AG94" s="134"/>
      <c r="AI94" s="337"/>
      <c r="AJ94" s="338"/>
      <c r="AK94" s="30"/>
      <c r="AL94" s="339"/>
      <c r="AM94" s="340"/>
    </row>
    <row r="95" spans="5:39" hidden="1" x14ac:dyDescent="0.2">
      <c r="E95" s="75"/>
      <c r="F95" s="78"/>
      <c r="G95" s="78"/>
      <c r="H95" s="7"/>
      <c r="I95" s="7"/>
      <c r="J95" s="7"/>
      <c r="K95" s="7"/>
      <c r="L95" s="7"/>
      <c r="M95" s="68">
        <f>IF(ISERROR(M79-M43-M44-M45-M46-M47-M48-M49-M50-M51-M52-M53-M54-M55-M56-M57-M58),0,M79-M43-M44-M45-M46-M47-M48-M49-M50-M51-M52-M53-M54-M55-M56-M57-M58)</f>
        <v>0</v>
      </c>
      <c r="N95" s="68">
        <f>IF(ISERROR(N79-N43-N44-N45-N46-N47-N48-N49-N50-N51-N52-N53-N54-N55-N56-N57-N58),0,N79-N43-N44-N45-N46-N47-N48-N49-N50-N51-N52-N53-N54-N55-N56-N57-N58)</f>
        <v>0</v>
      </c>
      <c r="O95" s="68">
        <f>IF(ISERROR(O79-O43-O44-O45-O46-O47-O48-O49-O50-O51-O52-O53-O54-O55-O56-O57-O58),0,O79-O43-O44-O45-O46-O47-O48-O49-O50-O51-O52-O53-O54-O55-O56-O57-O58)</f>
        <v>0</v>
      </c>
      <c r="P95" s="68">
        <f>IF(ISERROR(P79-P43-P44-P45-P46-P47-P48-P49-P50-P51-P52-P53-P54-P55-P56-P57-P58),0,P79-P43-P44-P45-P46-P47-P48-P49-P50-P51-P52-P53-P54-P55-P56-P57-P58)</f>
        <v>0</v>
      </c>
      <c r="Q95" s="68">
        <f t="shared" si="19"/>
        <v>0</v>
      </c>
      <c r="R95" s="134"/>
      <c r="S95" s="134"/>
      <c r="T95" s="134"/>
      <c r="U95" s="134"/>
      <c r="V95" s="134"/>
      <c r="W95" s="134"/>
      <c r="X95" s="134"/>
      <c r="Y95" s="134"/>
      <c r="Z95" s="134"/>
      <c r="AA95" s="134"/>
      <c r="AB95" s="134"/>
      <c r="AC95" s="134"/>
      <c r="AD95" s="134"/>
      <c r="AE95" s="134"/>
      <c r="AF95" s="134"/>
      <c r="AG95" s="134"/>
      <c r="AI95" s="337"/>
      <c r="AJ95" s="338"/>
      <c r="AK95" s="30"/>
      <c r="AL95" s="339"/>
      <c r="AM95" s="340"/>
    </row>
    <row r="96" spans="5:39" hidden="1" x14ac:dyDescent="0.2">
      <c r="E96" s="75"/>
      <c r="F96" s="78"/>
      <c r="G96" s="78"/>
      <c r="H96" s="7"/>
      <c r="I96" s="7"/>
      <c r="J96" s="7"/>
      <c r="K96" s="7"/>
      <c r="L96" s="7"/>
      <c r="M96" s="68">
        <f>IF(ISERROR(M79-M43-M44-M45-M46-M47-M48-M49-M50-M51-M52-M53-M54-M55-M56-M57-M58-M59),0,M79-M43-M44-M45-M46-M47-M48-M49-M50-M51-M52-M53-M54-M55-M56-M57-M58-M59)</f>
        <v>0</v>
      </c>
      <c r="N96" s="68">
        <f>IF(ISERROR(N79-N43-N44-N45-N46-N47-N48-N49-N50-N51-N52-N53-N54-N55-N56-N57-N58-N59),0,N79-N43-N44-N45-N46-N47-N48-N49-N50-N51-N52-N53-N54-N55-N56-N57-N58-N59)</f>
        <v>0</v>
      </c>
      <c r="O96" s="68">
        <f>IF(ISERROR(O79-O43-O44-O45-O46-O47-O48-O49-O50-O51-O52-O53-O54-O55-O56-O57-O58-O59),0,O79-O43-O44-O45-O46-O47-O48-O49-O50-O51-O52-O53-O54-O55-O56-O57-O58-O59)</f>
        <v>0</v>
      </c>
      <c r="P96" s="68">
        <f>IF(ISERROR(P79-P43-P44-P45-P46-P47-P48-P49-P50-P51-P52-P53-P54-P55-P56-P57-P58-P59),0,P79-P43-P44-P45-P46-P47-P48-P49-P50-P51-P52-P53-P54-P55-P56-P57-P58-P59)</f>
        <v>0</v>
      </c>
      <c r="Q96" s="68">
        <f t="shared" si="19"/>
        <v>0</v>
      </c>
      <c r="R96" s="134"/>
      <c r="S96" s="134"/>
      <c r="T96" s="134"/>
      <c r="U96" s="134"/>
      <c r="V96" s="134"/>
      <c r="W96" s="134"/>
      <c r="X96" s="134"/>
      <c r="Y96" s="134"/>
      <c r="Z96" s="134"/>
      <c r="AA96" s="134"/>
      <c r="AB96" s="134"/>
      <c r="AC96" s="134"/>
      <c r="AD96" s="134"/>
      <c r="AE96" s="134"/>
      <c r="AF96" s="134"/>
      <c r="AG96" s="134"/>
      <c r="AI96" s="337"/>
      <c r="AJ96" s="338"/>
      <c r="AK96" s="30"/>
      <c r="AL96" s="339"/>
      <c r="AM96" s="340"/>
    </row>
    <row r="97" spans="5:39" hidden="1" x14ac:dyDescent="0.2">
      <c r="E97" s="75"/>
      <c r="F97" s="78"/>
      <c r="G97" s="78"/>
      <c r="H97" s="7"/>
      <c r="I97" s="7"/>
      <c r="J97" s="7"/>
      <c r="K97" s="7"/>
      <c r="L97" s="7"/>
      <c r="M97" s="68">
        <f>IF(ISERROR(M79-M43-M44-M45-M46-M47-M48-M49-M50-M51-M52-M53-M54-M55-M56-M57-M58-M59-M60),0,M79-M43-M44-M45-M46-M47-M48-M49-M50-M51-M52-M53-M54-M55-M56-M57-M58-M59-M60)</f>
        <v>0</v>
      </c>
      <c r="N97" s="68">
        <f>IF(ISERROR(N79-N43-N44-N45-N46-N47-N48-N49-N50-N51-N52-N53-N54-N55-N56-N57-N58-N59-N60),0,N79-N43-N44-N45-N46-N47-N48-N49-N50-N51-N52-N53-N54-N55-N56-N57-N58-N59-N60)</f>
        <v>0</v>
      </c>
      <c r="O97" s="68">
        <f>IF(ISERROR(O79-O43-O44-O45-O46-O47-O48-O49-O50-O51-O52-O53-O54-O55-O56-O57-O58-O59-O60),0,O79-O43-O44-O45-O46-O47-O48-O49-O50-O51-O52-O53-O54-O55-O56-O57-O58-O59-O60)</f>
        <v>0</v>
      </c>
      <c r="P97" s="68">
        <f>IF(ISERROR(P79-P43-P44-P45-P46-P47-P48-P49-P50-P51-P52-P53-P54-P55-P56-P57-P58-P59-P60),0,P79-P43-P44-P45-P46-P47-P48-P49-P50-P51-P52-P53-P54-P55-P56-P57-P58-P59-P60)</f>
        <v>0</v>
      </c>
      <c r="Q97" s="68">
        <f t="shared" si="19"/>
        <v>0</v>
      </c>
      <c r="R97" s="134"/>
      <c r="S97" s="134"/>
      <c r="T97" s="134"/>
      <c r="U97" s="134"/>
      <c r="V97" s="134"/>
      <c r="W97" s="134"/>
      <c r="X97" s="134"/>
      <c r="Y97" s="134"/>
      <c r="Z97" s="134"/>
      <c r="AA97" s="134"/>
      <c r="AB97" s="134"/>
      <c r="AC97" s="134"/>
      <c r="AD97" s="134"/>
      <c r="AE97" s="134"/>
      <c r="AF97" s="134"/>
      <c r="AG97" s="134"/>
      <c r="AI97" s="337"/>
      <c r="AJ97" s="338"/>
      <c r="AK97" s="30"/>
      <c r="AL97" s="339"/>
      <c r="AM97" s="340"/>
    </row>
    <row r="98" spans="5:39" hidden="1" x14ac:dyDescent="0.2">
      <c r="E98" s="75"/>
      <c r="F98" s="78"/>
      <c r="G98" s="78"/>
      <c r="H98" s="7"/>
      <c r="I98" s="7"/>
      <c r="J98" s="7"/>
      <c r="K98" s="7"/>
      <c r="L98" s="7"/>
      <c r="M98" s="68">
        <f>IF(ISERROR(M79-M43-M44-M45-M46-M47-M48-M49-M50-M51-M52-M53-M54-M55-M56-M57-M58-M59-M60-M61),0,M79-M43-M44-M45-M46-M47-M48-M49-M50-M51-M52-M53-M54-M55-M56-M57-M58-M59-M60-M61)</f>
        <v>0</v>
      </c>
      <c r="N98" s="68">
        <f>IF(ISERROR(N79-N43-N44-N45-N46-N47-N48-N49-N50-N51-N52-N53-N54-N55-N56-N57-N58-N59-N60-N61),0,N79-N43-N44-N45-N46-N47-N48-N49-N50-N51-N52-N53-N54-N55-N56-N57-N58-N59-N60-N61)</f>
        <v>0</v>
      </c>
      <c r="O98" s="68">
        <f>IF(ISERROR(O79-O43-O44-O45-O46-O47-O48-O49-O50-O51-O52-O53-O54-O55-O56-O57-O58-O59-O60-O61),0,O79-O43-O44-O45-O46-O47-O48-O49-O50-O51-O52-O53-O54-O55-O56-O57-O58-O59-O60-O61)</f>
        <v>0</v>
      </c>
      <c r="P98" s="68">
        <f>IF(ISERROR(P79-P43-P44-P45-P46-P47-P48-P49-P50-P51-P52-P53-P54-P55-P56-P57-P58-P59-P60-P61),0,P79-P43-P44-P45-P46-P47-P48-P49-P50-P51-P52-P53-P54-P55-P56-P57-P58-P59-P60-P61)</f>
        <v>0</v>
      </c>
      <c r="Q98" s="68">
        <f t="shared" si="19"/>
        <v>0</v>
      </c>
      <c r="R98" s="134"/>
      <c r="S98" s="134"/>
      <c r="T98" s="134"/>
      <c r="U98" s="134"/>
      <c r="V98" s="134"/>
      <c r="W98" s="134"/>
      <c r="X98" s="134"/>
      <c r="Y98" s="134"/>
      <c r="Z98" s="134"/>
      <c r="AA98" s="134"/>
      <c r="AB98" s="134"/>
      <c r="AC98" s="134"/>
      <c r="AD98" s="134"/>
      <c r="AE98" s="134"/>
      <c r="AF98" s="134"/>
      <c r="AG98" s="134"/>
      <c r="AI98" s="337"/>
      <c r="AJ98" s="338"/>
      <c r="AK98" s="30"/>
      <c r="AL98" s="339"/>
      <c r="AM98" s="340"/>
    </row>
    <row r="99" spans="5:39" hidden="1" x14ac:dyDescent="0.2">
      <c r="E99" s="61"/>
      <c r="F99" s="62"/>
      <c r="G99" s="62"/>
      <c r="H99" s="2"/>
      <c r="I99" s="2"/>
      <c r="J99" s="2"/>
      <c r="K99" s="2"/>
      <c r="L99" s="2"/>
      <c r="M99" s="68">
        <f>IF(ISERROR(M79-M43-M44-M45-M46-M47-M48-M49-M50-M51-M52-M53-M54-M55-M56-M57-M58-M59-M60-M61-M62),0,M79-M43-M44-M45-M46-M47-M48-M49-M50-M51-M52-M53-M54-M55-M56-M57-M58-M59-M60-M61-M62)</f>
        <v>0</v>
      </c>
      <c r="N99" s="68">
        <f>IF(ISERROR(N79-N43-N44-N45-N46-N47-N48-N49-N50-N51-N52-N53-N54-N55-N56-N57-N58-N59-N60-N61-N62),0,N79-N43-N44-N45-N46-N47-N48-N49-N50-N51-N52-N53-N54-N55-N56-N57-N58-N59-N60-N61-N62)</f>
        <v>0</v>
      </c>
      <c r="O99" s="68">
        <f>IF(ISERROR(O79-O43-O44-O45-O46-O47-O48-O49-O50-O51-O52-O53-O54-O55-O56-O57-O58-O59-O60-O61-O62),0,O79-O43-O44-O45-O46-O47-O48-O49-O50-O51-O52-O53-O54-O55-O56-O57-O58-O59-O60-O61-O62)</f>
        <v>0</v>
      </c>
      <c r="P99" s="68">
        <f>IF(ISERROR(P79-P43-P44-P45-P46-P47-P48-P49-P50-P51-P52-P53-P54-P55-P56-P57-P58-P59-P60-P61-P62),0,P79-P43-P44-P45-P46-P47-P48-P49-P50-P51-P52-P53-P54-P55-P56-P57-P58-P59-P60-P61-P62)</f>
        <v>0</v>
      </c>
      <c r="Q99" s="68">
        <f t="shared" si="19"/>
        <v>0</v>
      </c>
      <c r="R99" s="134"/>
      <c r="S99" s="134"/>
      <c r="T99" s="134"/>
      <c r="U99" s="134"/>
      <c r="V99" s="134"/>
      <c r="W99" s="134"/>
      <c r="X99" s="134"/>
      <c r="Y99" s="134"/>
      <c r="Z99" s="134"/>
      <c r="AA99" s="134"/>
      <c r="AB99" s="134"/>
      <c r="AC99" s="134"/>
      <c r="AD99" s="134"/>
      <c r="AE99" s="134"/>
      <c r="AF99" s="134"/>
      <c r="AG99" s="134"/>
      <c r="AI99" s="80"/>
      <c r="AJ99" s="81"/>
      <c r="AK99" s="81"/>
      <c r="AL99" s="81"/>
      <c r="AM99" s="82"/>
    </row>
  </sheetData>
  <sheetProtection password="F4FD" sheet="1" objects="1" scenarios="1"/>
  <mergeCells count="15">
    <mergeCell ref="A66:Q68"/>
    <mergeCell ref="G21:I22"/>
    <mergeCell ref="T66:V66"/>
    <mergeCell ref="T67:V68"/>
    <mergeCell ref="G2:O2"/>
    <mergeCell ref="AE22:AG22"/>
    <mergeCell ref="AC22:AD22"/>
    <mergeCell ref="G9:J10"/>
    <mergeCell ref="G11:J12"/>
    <mergeCell ref="G7:H8"/>
    <mergeCell ref="K1:O1"/>
    <mergeCell ref="P2:S2"/>
    <mergeCell ref="U2:Z2"/>
    <mergeCell ref="U3:Z3"/>
    <mergeCell ref="U4:V4"/>
  </mergeCells>
  <phoneticPr fontId="0" type="noConversion"/>
  <conditionalFormatting sqref="Q22">
    <cfRule type="cellIs" dxfId="0"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2">
      <formula1>0</formula1>
      <formula2>1</formula2>
    </dataValidation>
    <dataValidation allowBlank="1" showInputMessage="1" showErrorMessage="1" errorTitle="Scale Validation" error="You must enter the letter &quot;x&quot; to calculate for Instructor." sqref="H33"/>
    <dataValidation type="whole" operator="greaterThanOrEqual" allowBlank="1" showInputMessage="1" showErrorMessage="1" errorTitle="Prof base" error="The minimum base salary for above scale rates is $187,100._x000a_If approved base is below this number, use the regular or offscale calculation sheet." sqref="H36">
      <formula1>187100</formula1>
    </dataValidation>
    <dataValidation type="whole" allowBlank="1" showInputMessage="1" showErrorMessage="1" error="Please enter a number between 9 and 22 to denote the appropriate salary cap." sqref="A43:A62">
      <formula1>9</formula1>
      <formula2>25</formula2>
    </dataValidation>
    <dataValidation type="list" allowBlank="1" showInputMessage="1" showErrorMessage="1" sqref="G43:G61">
      <formula1>"ADD,CHANGE,END"</formula1>
    </dataValidation>
  </dataValidations>
  <hyperlinks>
    <hyperlink ref="I26" location="GenlInstr!D9" display="GenlInstr!D9"/>
    <hyperlink ref="A39" location="GenlInstr!B11" display="GenlInstr!B11"/>
    <hyperlink ref="A64" location="GenlInstr!F11" display="GenlInstr!F11"/>
    <hyperlink ref="I33" location="GenlInstr!F10" display="GenlInstr!F10"/>
    <hyperlink ref="I8" location="GenlInstr!B9" display="GenlInstr!B9"/>
    <hyperlink ref="O4" location="GenlInstr!F9" display="GenlInstr!F9"/>
  </hyperlinks>
  <pageMargins left="0.2" right="0.2" top="0.25" bottom="0.25" header="0.33" footer="0.5"/>
  <pageSetup paperSize="5" scale="49"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K39"/>
  <sheetViews>
    <sheetView workbookViewId="0">
      <selection activeCell="B11" sqref="B11"/>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11" ht="50.1" customHeight="1" x14ac:dyDescent="0.2">
      <c r="A1" s="717" t="s">
        <v>40</v>
      </c>
      <c r="B1" s="717"/>
      <c r="C1" s="717"/>
      <c r="D1" s="717"/>
      <c r="E1" s="717"/>
      <c r="F1" s="717"/>
      <c r="G1" s="717"/>
      <c r="H1" s="248"/>
      <c r="I1" s="248"/>
      <c r="J1" s="248"/>
      <c r="K1" s="248"/>
    </row>
    <row r="2" spans="1:11" ht="45" customHeight="1" x14ac:dyDescent="0.2">
      <c r="A2" s="275"/>
      <c r="B2" s="275"/>
      <c r="C2" s="275"/>
      <c r="D2" s="275"/>
      <c r="E2" s="275"/>
      <c r="F2" s="275"/>
      <c r="G2" s="275"/>
      <c r="H2" s="248"/>
      <c r="I2" s="248"/>
      <c r="J2" s="248"/>
      <c r="K2" s="248"/>
    </row>
    <row r="3" spans="1:11" s="34" customFormat="1" ht="30" customHeight="1" x14ac:dyDescent="0.2">
      <c r="A3" s="275"/>
      <c r="B3" s="275"/>
      <c r="C3" s="275"/>
      <c r="D3" s="275"/>
      <c r="E3" s="275"/>
      <c r="F3" s="275"/>
      <c r="G3" s="275"/>
      <c r="H3" s="276"/>
      <c r="I3" s="276"/>
      <c r="J3" s="276"/>
      <c r="K3" s="276"/>
    </row>
    <row r="4" spans="1:11" s="280" customFormat="1" ht="120" customHeight="1" x14ac:dyDescent="0.2">
      <c r="A4" s="277"/>
      <c r="B4" s="277" t="s">
        <v>91</v>
      </c>
      <c r="C4" s="277"/>
      <c r="D4" s="277" t="s">
        <v>96</v>
      </c>
      <c r="E4" s="278"/>
      <c r="F4" s="277" t="s">
        <v>89</v>
      </c>
      <c r="G4" s="278"/>
      <c r="H4" s="279"/>
      <c r="I4" s="279"/>
      <c r="J4" s="279"/>
      <c r="K4" s="279"/>
    </row>
    <row r="5" spans="1:11" ht="2.1" customHeight="1" x14ac:dyDescent="0.2">
      <c r="A5" s="281"/>
      <c r="B5" s="724"/>
      <c r="C5" s="717"/>
      <c r="D5" s="717"/>
      <c r="E5" s="717"/>
      <c r="F5" s="717"/>
      <c r="G5" s="282"/>
      <c r="H5" s="247"/>
      <c r="I5" s="247"/>
      <c r="J5" s="247"/>
      <c r="K5" s="247"/>
    </row>
    <row r="6" spans="1:11" ht="12" customHeight="1" x14ac:dyDescent="0.2">
      <c r="A6" s="281"/>
      <c r="B6" s="274"/>
      <c r="C6" s="275"/>
      <c r="D6" s="275"/>
      <c r="E6" s="275"/>
      <c r="F6" s="720"/>
      <c r="G6" s="282"/>
      <c r="H6" s="247"/>
      <c r="I6" s="247"/>
      <c r="J6" s="247"/>
      <c r="K6" s="247"/>
    </row>
    <row r="7" spans="1:11" ht="14.1" customHeight="1" x14ac:dyDescent="0.2">
      <c r="A7" s="718"/>
      <c r="B7" s="719"/>
      <c r="C7" s="283"/>
      <c r="D7" s="283"/>
      <c r="E7" s="283"/>
      <c r="F7" s="721"/>
      <c r="G7" s="284"/>
      <c r="H7" s="247"/>
      <c r="I7" s="247"/>
      <c r="J7" s="247"/>
      <c r="K7" s="247"/>
    </row>
    <row r="8" spans="1:11" ht="9.75" customHeight="1" x14ac:dyDescent="0.2">
      <c r="A8" s="285"/>
      <c r="B8" s="286"/>
      <c r="C8" s="287"/>
      <c r="D8" s="259"/>
      <c r="E8" s="288"/>
      <c r="F8" s="259"/>
      <c r="G8" s="289"/>
      <c r="H8" s="247"/>
      <c r="I8" s="247"/>
      <c r="J8" s="247"/>
      <c r="K8" s="247"/>
    </row>
    <row r="9" spans="1:11" s="295" customFormat="1" ht="170.1" customHeight="1" x14ac:dyDescent="0.2">
      <c r="A9" s="290">
        <v>1</v>
      </c>
      <c r="B9" s="328" t="s">
        <v>113</v>
      </c>
      <c r="C9" s="292">
        <v>2</v>
      </c>
      <c r="D9" s="291" t="s">
        <v>90</v>
      </c>
      <c r="E9" s="292">
        <v>3</v>
      </c>
      <c r="F9" s="351" t="s">
        <v>211</v>
      </c>
      <c r="G9" s="293"/>
      <c r="H9" s="294"/>
      <c r="I9" s="294"/>
      <c r="J9" s="294"/>
      <c r="K9" s="294"/>
    </row>
    <row r="10" spans="1:11" s="295" customFormat="1" ht="159.75" customHeight="1" x14ac:dyDescent="0.2">
      <c r="A10" s="260">
        <v>4</v>
      </c>
      <c r="B10" s="296" t="s">
        <v>81</v>
      </c>
      <c r="C10" s="260">
        <v>5</v>
      </c>
      <c r="D10" s="362" t="s">
        <v>119</v>
      </c>
      <c r="E10" s="260">
        <v>6</v>
      </c>
      <c r="F10" s="417" t="s">
        <v>137</v>
      </c>
      <c r="G10" s="261"/>
      <c r="H10" s="297"/>
      <c r="I10" s="297"/>
      <c r="J10" s="297"/>
      <c r="K10" s="297"/>
    </row>
    <row r="11" spans="1:11" ht="264.75" customHeight="1" thickBot="1" x14ac:dyDescent="0.25">
      <c r="A11" s="258">
        <v>7</v>
      </c>
      <c r="B11" s="356" t="s">
        <v>138</v>
      </c>
      <c r="C11" s="298">
        <v>8</v>
      </c>
      <c r="D11" s="418" t="s">
        <v>139</v>
      </c>
      <c r="E11" s="298">
        <v>9</v>
      </c>
      <c r="F11" s="319" t="s">
        <v>102</v>
      </c>
      <c r="G11" s="299"/>
      <c r="H11" s="249"/>
      <c r="I11" s="249"/>
      <c r="J11" s="249"/>
      <c r="K11" s="249"/>
    </row>
    <row r="12" spans="1:11" ht="68.25" thickTop="1" x14ac:dyDescent="0.2">
      <c r="A12" s="255"/>
      <c r="B12" s="262" t="s">
        <v>143</v>
      </c>
      <c r="C12" s="300"/>
      <c r="D12" s="256"/>
      <c r="E12" s="255"/>
      <c r="F12" s="255"/>
      <c r="G12" s="255"/>
    </row>
    <row r="13" spans="1:11" ht="9.75" customHeight="1" x14ac:dyDescent="0.2">
      <c r="A13" s="255"/>
      <c r="B13" s="262"/>
      <c r="C13" s="300"/>
      <c r="D13" s="256"/>
      <c r="E13" s="255"/>
      <c r="F13" s="255"/>
      <c r="G13" s="255"/>
    </row>
    <row r="14" spans="1:11" ht="56.25" x14ac:dyDescent="0.2">
      <c r="A14" s="255"/>
      <c r="B14" s="262" t="s">
        <v>100</v>
      </c>
      <c r="C14" s="301"/>
      <c r="D14" s="723"/>
      <c r="E14" s="723"/>
      <c r="F14" s="723"/>
      <c r="G14" s="257"/>
    </row>
    <row r="15" spans="1:11" ht="9.75" customHeight="1" x14ac:dyDescent="0.2">
      <c r="A15" s="255"/>
      <c r="B15" s="262"/>
      <c r="C15" s="301"/>
      <c r="D15" s="723"/>
      <c r="E15" s="723"/>
      <c r="F15" s="723"/>
      <c r="G15" s="257"/>
    </row>
    <row r="16" spans="1:11" ht="56.25" x14ac:dyDescent="0.2">
      <c r="A16" s="255"/>
      <c r="B16" s="262" t="s">
        <v>101</v>
      </c>
      <c r="C16" s="300"/>
      <c r="D16" s="722"/>
      <c r="E16" s="722"/>
      <c r="F16" s="722"/>
      <c r="G16" s="256"/>
    </row>
    <row r="17" spans="1:7" ht="9.75" customHeight="1" x14ac:dyDescent="0.2">
      <c r="A17" s="255"/>
      <c r="B17" s="262"/>
      <c r="C17" s="300"/>
      <c r="D17" s="316"/>
      <c r="E17" s="316"/>
      <c r="F17" s="316"/>
      <c r="G17" s="256"/>
    </row>
    <row r="18" spans="1:7" ht="56.25" x14ac:dyDescent="0.2">
      <c r="A18" s="330"/>
      <c r="B18" s="331" t="s">
        <v>97</v>
      </c>
      <c r="C18" s="263"/>
      <c r="D18" s="722"/>
      <c r="E18" s="722"/>
      <c r="F18" s="722"/>
      <c r="G18" s="255"/>
    </row>
    <row r="19" spans="1:7" ht="44.25" customHeight="1" x14ac:dyDescent="0.2">
      <c r="A19" s="255"/>
      <c r="B19" s="329"/>
      <c r="C19" s="278"/>
      <c r="D19" s="722"/>
      <c r="E19" s="722"/>
      <c r="F19" s="722"/>
      <c r="G19" s="255"/>
    </row>
    <row r="20" spans="1:7" ht="19.5" customHeight="1" x14ac:dyDescent="0.2">
      <c r="A20" s="412" t="s">
        <v>131</v>
      </c>
      <c r="B20" s="329"/>
      <c r="C20" s="278"/>
      <c r="D20" s="316"/>
      <c r="E20" s="316"/>
      <c r="F20" s="316"/>
      <c r="G20" s="255"/>
    </row>
    <row r="21" spans="1:7" ht="63" customHeight="1" x14ac:dyDescent="0.25">
      <c r="A21" s="727" t="s">
        <v>130</v>
      </c>
      <c r="B21" s="727"/>
      <c r="C21" s="727"/>
      <c r="D21" s="727"/>
      <c r="E21" s="727"/>
      <c r="F21" s="316"/>
      <c r="G21" s="255"/>
    </row>
    <row r="22" spans="1:7" ht="38.25" customHeight="1" x14ac:dyDescent="0.2">
      <c r="A22" s="255"/>
      <c r="B22" s="329"/>
      <c r="C22" s="278"/>
      <c r="D22" s="316"/>
      <c r="E22" s="316"/>
      <c r="F22" s="257"/>
      <c r="G22" s="257"/>
    </row>
    <row r="23" spans="1:7" ht="36.75" customHeight="1" x14ac:dyDescent="0.2">
      <c r="A23" s="723" t="s">
        <v>142</v>
      </c>
      <c r="B23" s="723"/>
      <c r="C23" s="723"/>
      <c r="D23" s="723"/>
      <c r="E23" s="723"/>
      <c r="F23" s="257"/>
      <c r="G23" s="257"/>
    </row>
    <row r="24" spans="1:7" ht="35.25" customHeight="1" x14ac:dyDescent="0.2">
      <c r="A24" s="723" t="s">
        <v>107</v>
      </c>
      <c r="B24" s="723"/>
      <c r="C24" s="723"/>
      <c r="D24" s="723"/>
      <c r="E24" s="723"/>
      <c r="F24" s="255"/>
      <c r="G24" s="255"/>
    </row>
    <row r="25" spans="1:7" ht="54.75" customHeight="1" x14ac:dyDescent="0.2">
      <c r="A25" s="722" t="s">
        <v>111</v>
      </c>
      <c r="B25" s="722"/>
      <c r="C25" s="722"/>
      <c r="D25" s="722"/>
      <c r="E25" s="722"/>
      <c r="F25" s="316"/>
      <c r="G25" s="316"/>
    </row>
    <row r="26" spans="1:7" ht="45" customHeight="1" x14ac:dyDescent="0.2">
      <c r="A26" s="722" t="s">
        <v>108</v>
      </c>
      <c r="B26" s="722"/>
      <c r="C26" s="722"/>
      <c r="D26" s="722"/>
      <c r="E26" s="722"/>
      <c r="F26" s="255"/>
      <c r="G26" s="255"/>
    </row>
    <row r="27" spans="1:7" ht="30" customHeight="1" x14ac:dyDescent="0.2">
      <c r="A27" s="722" t="s">
        <v>109</v>
      </c>
      <c r="B27" s="722"/>
      <c r="C27" s="722"/>
      <c r="D27" s="722"/>
      <c r="E27" s="722"/>
      <c r="F27" s="255"/>
      <c r="G27" s="255"/>
    </row>
    <row r="28" spans="1:7" ht="23.25" customHeight="1" x14ac:dyDescent="0.2">
      <c r="A28" s="725" t="s">
        <v>110</v>
      </c>
      <c r="B28" s="725"/>
      <c r="C28" s="725"/>
      <c r="D28" s="725"/>
      <c r="E28" s="725"/>
      <c r="F28" s="255"/>
      <c r="G28" s="255"/>
    </row>
    <row r="29" spans="1:7" ht="31.5" customHeight="1" x14ac:dyDescent="0.2">
      <c r="A29" s="726" t="s">
        <v>92</v>
      </c>
      <c r="B29" s="726"/>
      <c r="C29" s="726"/>
      <c r="D29" s="726"/>
      <c r="E29" s="726"/>
      <c r="F29" s="255"/>
      <c r="G29" s="255"/>
    </row>
    <row r="30" spans="1:7" ht="55.5" hidden="1" customHeight="1" x14ac:dyDescent="0.2">
      <c r="A30" s="255"/>
      <c r="B30" s="255"/>
      <c r="C30" s="255"/>
      <c r="D30" s="255"/>
      <c r="E30" s="255"/>
      <c r="F30" s="255"/>
      <c r="G30" s="255"/>
    </row>
    <row r="31" spans="1:7" ht="55.5" hidden="1" customHeight="1" x14ac:dyDescent="0.2">
      <c r="A31" s="722" t="s">
        <v>114</v>
      </c>
      <c r="B31" s="728"/>
      <c r="C31" s="728"/>
      <c r="D31" s="728"/>
      <c r="E31" s="728"/>
      <c r="F31" s="255"/>
      <c r="G31" s="255"/>
    </row>
    <row r="32" spans="1:7" ht="55.5" hidden="1" customHeight="1" x14ac:dyDescent="0.2">
      <c r="A32" s="722" t="s">
        <v>115</v>
      </c>
      <c r="B32" s="722"/>
      <c r="C32" s="722"/>
      <c r="D32" s="722"/>
      <c r="E32" s="722"/>
      <c r="F32" s="255"/>
      <c r="G32" s="255"/>
    </row>
    <row r="33" spans="1:7" ht="55.5" customHeight="1" x14ac:dyDescent="0.2">
      <c r="A33" s="255"/>
      <c r="B33" s="255"/>
      <c r="C33" s="255"/>
      <c r="D33" s="255"/>
      <c r="E33" s="255"/>
      <c r="F33" s="255"/>
      <c r="G33" s="255"/>
    </row>
    <row r="34" spans="1:7" s="312" customFormat="1" ht="55.5" customHeight="1" x14ac:dyDescent="0.2"/>
    <row r="35" spans="1:7" s="312" customFormat="1" ht="55.5" customHeight="1" x14ac:dyDescent="0.2"/>
    <row r="36" spans="1:7" s="312" customFormat="1" ht="55.5" customHeight="1" x14ac:dyDescent="0.2"/>
    <row r="37" spans="1:7" s="312" customFormat="1" ht="55.5" customHeight="1" x14ac:dyDescent="0.2"/>
    <row r="38" spans="1:7" s="312" customFormat="1" ht="55.5" customHeight="1" x14ac:dyDescent="0.2"/>
    <row r="39" spans="1:7" s="312" customFormat="1" x14ac:dyDescent="0.2"/>
  </sheetData>
  <sheetProtection password="F4FD" sheet="1" objects="1" scenarios="1"/>
  <mergeCells count="19">
    <mergeCell ref="A32:E32"/>
    <mergeCell ref="A28:E28"/>
    <mergeCell ref="A29:E29"/>
    <mergeCell ref="A23:E23"/>
    <mergeCell ref="A21:E21"/>
    <mergeCell ref="A27:E27"/>
    <mergeCell ref="A26:E26"/>
    <mergeCell ref="A25:E25"/>
    <mergeCell ref="A24:E24"/>
    <mergeCell ref="A31:E31"/>
    <mergeCell ref="A1:G1"/>
    <mergeCell ref="A7:B7"/>
    <mergeCell ref="F6:F7"/>
    <mergeCell ref="D19:F19"/>
    <mergeCell ref="D18:F18"/>
    <mergeCell ref="D16:F16"/>
    <mergeCell ref="D14:F14"/>
    <mergeCell ref="D15:F15"/>
    <mergeCell ref="B5:F5"/>
  </mergeCells>
  <phoneticPr fontId="0" type="noConversion"/>
  <hyperlinks>
    <hyperlink ref="B10" location="OnScaleCalc!D17" display="OnScaleCalc!D17"/>
    <hyperlink ref="B9" location="OnScaleCalc!D5" display="OnScaleCalc!D5"/>
    <hyperlink ref="D9" location="OnScaleCalc!D12" display="OnScaleCalc!D12"/>
    <hyperlink ref="F9" location="OnScaleCalc!k4" display="OnScaleCalc!k4"/>
    <hyperlink ref="D11" location="OnScaleCalc!O25" display="OnScaleCalc!O25"/>
    <hyperlink ref="F11" location="OnScaleCalc!A40" display="OnScaleCalc!A40"/>
    <hyperlink ref="F10" location="OnScaleCalc!D19" display="OnScaleCalc!D19"/>
    <hyperlink ref="B11" location="OnScaleCalc!A25" display="OnScaleCalc!A25"/>
    <hyperlink ref="D10" location="OnScaleCalc!D18" display="OnScaleCalc!D18"/>
  </hyperlinks>
  <pageMargins left="0.75" right="0.75" top="0.5" bottom="1" header="0.5" footer="0.5"/>
  <pageSetup scale="85" orientation="landscape"/>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dimension ref="A1:G23"/>
  <sheetViews>
    <sheetView workbookViewId="0">
      <selection activeCell="D33" sqref="D33"/>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54.75" customHeight="1" x14ac:dyDescent="0.2">
      <c r="A1" s="734"/>
      <c r="B1" s="734"/>
      <c r="C1" s="734"/>
      <c r="D1" s="734"/>
      <c r="E1" s="734"/>
      <c r="F1" s="734"/>
      <c r="G1" s="734"/>
    </row>
    <row r="2" spans="1:7" ht="53.25" customHeight="1" x14ac:dyDescent="0.2">
      <c r="A2" s="302"/>
      <c r="B2" s="717"/>
      <c r="C2" s="717"/>
      <c r="D2" s="717"/>
      <c r="E2" s="717"/>
      <c r="F2" s="717"/>
      <c r="G2" s="275"/>
    </row>
    <row r="3" spans="1:7" ht="72.75" customHeight="1" x14ac:dyDescent="0.2">
      <c r="A3" s="303"/>
      <c r="B3" s="737" t="s">
        <v>140</v>
      </c>
      <c r="C3" s="737"/>
      <c r="D3" s="737"/>
      <c r="E3" s="737"/>
      <c r="F3" s="737"/>
      <c r="G3" s="306"/>
    </row>
    <row r="4" spans="1:7" ht="39.75" customHeight="1" x14ac:dyDescent="0.2">
      <c r="A4" s="303"/>
      <c r="B4" s="304"/>
      <c r="C4" s="305"/>
      <c r="D4" s="305"/>
      <c r="E4" s="305"/>
      <c r="F4" s="305"/>
      <c r="G4" s="306"/>
    </row>
    <row r="5" spans="1:7" ht="30" customHeight="1" x14ac:dyDescent="0.2">
      <c r="A5" s="303"/>
      <c r="B5" s="739"/>
      <c r="C5" s="730"/>
      <c r="D5" s="730"/>
      <c r="E5" s="730"/>
      <c r="F5" s="730"/>
      <c r="G5" s="306"/>
    </row>
    <row r="6" spans="1:7" ht="12" customHeight="1" x14ac:dyDescent="0.2">
      <c r="A6" s="735"/>
      <c r="B6" s="736"/>
      <c r="C6" s="736"/>
      <c r="D6" s="736"/>
      <c r="E6" s="736"/>
      <c r="F6" s="736"/>
      <c r="G6" s="736"/>
    </row>
    <row r="7" spans="1:7" ht="24.75" customHeight="1" x14ac:dyDescent="0.2">
      <c r="A7" s="307" t="s">
        <v>40</v>
      </c>
      <c r="B7" s="733" t="s">
        <v>98</v>
      </c>
      <c r="C7" s="733"/>
      <c r="D7" s="733"/>
      <c r="E7" s="733"/>
      <c r="F7" s="733"/>
      <c r="G7" s="256"/>
    </row>
    <row r="8" spans="1:7" ht="24.75" customHeight="1" x14ac:dyDescent="0.2">
      <c r="A8" s="275"/>
      <c r="B8" s="733"/>
      <c r="C8" s="733"/>
      <c r="D8" s="733"/>
      <c r="E8" s="733"/>
      <c r="F8" s="733"/>
      <c r="G8" s="256"/>
    </row>
    <row r="9" spans="1:7" ht="24.75" customHeight="1" x14ac:dyDescent="0.25">
      <c r="A9" s="308"/>
      <c r="B9" s="738"/>
      <c r="C9" s="738"/>
      <c r="D9" s="738"/>
      <c r="E9" s="738"/>
      <c r="F9" s="738"/>
      <c r="G9" s="309"/>
    </row>
    <row r="10" spans="1:7" ht="24.75" customHeight="1" x14ac:dyDescent="0.2">
      <c r="A10" s="310"/>
      <c r="B10" s="723" t="s">
        <v>95</v>
      </c>
      <c r="C10" s="729"/>
      <c r="D10" s="729"/>
      <c r="E10" s="729"/>
      <c r="F10" s="729"/>
      <c r="G10" s="275"/>
    </row>
    <row r="11" spans="1:7" ht="16.5" customHeight="1" x14ac:dyDescent="0.2">
      <c r="A11" s="311"/>
      <c r="B11" s="730"/>
      <c r="C11" s="730"/>
      <c r="D11" s="730"/>
      <c r="E11" s="730"/>
      <c r="F11" s="730"/>
      <c r="G11" s="255"/>
    </row>
    <row r="12" spans="1:7" ht="24.75" customHeight="1" x14ac:dyDescent="0.2">
      <c r="A12" s="258"/>
      <c r="B12" s="731" t="s">
        <v>105</v>
      </c>
      <c r="C12" s="730"/>
      <c r="D12" s="730"/>
      <c r="E12" s="730"/>
      <c r="F12" s="730"/>
      <c r="G12" s="255"/>
    </row>
    <row r="13" spans="1:7" ht="12" customHeight="1" x14ac:dyDescent="0.2">
      <c r="A13" s="255"/>
      <c r="B13" s="281"/>
      <c r="C13" s="281"/>
      <c r="D13" s="281"/>
      <c r="E13" s="281"/>
      <c r="F13" s="281"/>
      <c r="G13" s="281"/>
    </row>
    <row r="14" spans="1:7" ht="24.75" customHeight="1" x14ac:dyDescent="0.2">
      <c r="A14" s="255" t="s">
        <v>40</v>
      </c>
      <c r="B14" s="732" t="s">
        <v>106</v>
      </c>
      <c r="C14" s="733"/>
      <c r="D14" s="733"/>
      <c r="E14" s="733"/>
      <c r="F14" s="733"/>
      <c r="G14" s="281"/>
    </row>
    <row r="15" spans="1:7" x14ac:dyDescent="0.2">
      <c r="A15" s="255"/>
      <c r="B15" s="730"/>
      <c r="C15" s="730"/>
      <c r="D15" s="730"/>
      <c r="E15" s="730"/>
      <c r="F15" s="730"/>
      <c r="G15" s="281"/>
    </row>
    <row r="16" spans="1:7" x14ac:dyDescent="0.2">
      <c r="A16" s="255" t="s">
        <v>40</v>
      </c>
      <c r="B16" s="281" t="s">
        <v>40</v>
      </c>
      <c r="C16" s="281"/>
      <c r="D16" s="281"/>
      <c r="E16" s="281"/>
      <c r="F16" s="281"/>
      <c r="G16" s="281"/>
    </row>
    <row r="17" spans="1:7" s="312" customFormat="1" ht="24.75" customHeight="1" x14ac:dyDescent="0.2">
      <c r="A17" s="255"/>
      <c r="B17" s="722" t="s">
        <v>99</v>
      </c>
      <c r="C17" s="722"/>
      <c r="D17" s="722"/>
      <c r="E17" s="722"/>
      <c r="F17" s="722"/>
      <c r="G17" s="255"/>
    </row>
    <row r="18" spans="1:7" x14ac:dyDescent="0.2">
      <c r="A18" s="255"/>
      <c r="B18" s="255"/>
      <c r="C18" s="255"/>
      <c r="D18" s="255"/>
      <c r="E18" s="255"/>
      <c r="F18" s="255"/>
      <c r="G18" s="255"/>
    </row>
    <row r="19" spans="1:7" ht="24.75" customHeight="1" x14ac:dyDescent="0.2">
      <c r="A19" s="255"/>
      <c r="B19" s="722" t="s">
        <v>93</v>
      </c>
      <c r="C19" s="722"/>
      <c r="D19" s="722"/>
      <c r="E19" s="722"/>
      <c r="F19" s="722"/>
      <c r="G19" s="255"/>
    </row>
    <row r="20" spans="1:7" x14ac:dyDescent="0.2">
      <c r="A20" s="281"/>
      <c r="B20" s="281"/>
      <c r="C20" s="281"/>
      <c r="D20" s="281"/>
      <c r="E20" s="281"/>
      <c r="F20" s="281"/>
      <c r="G20" s="281"/>
    </row>
    <row r="21" spans="1:7" x14ac:dyDescent="0.2">
      <c r="A21" s="281"/>
      <c r="B21" s="281"/>
      <c r="C21" s="281"/>
      <c r="D21" s="281"/>
      <c r="E21" s="281"/>
      <c r="F21" s="281"/>
      <c r="G21" s="281"/>
    </row>
    <row r="22" spans="1:7" x14ac:dyDescent="0.2">
      <c r="A22" s="281"/>
      <c r="B22" s="281"/>
      <c r="C22" s="281"/>
      <c r="D22" s="281"/>
      <c r="E22" s="281"/>
      <c r="F22" s="281"/>
      <c r="G22" s="281"/>
    </row>
    <row r="23" spans="1:7" x14ac:dyDescent="0.2">
      <c r="A23" s="281"/>
      <c r="B23" s="281"/>
      <c r="C23" s="281"/>
      <c r="D23" s="281"/>
      <c r="E23" s="281"/>
      <c r="F23" s="281"/>
      <c r="G23" s="281"/>
    </row>
  </sheetData>
  <sheetProtection password="F4FD" sheet="1" objects="1" scenarios="1"/>
  <mergeCells count="11">
    <mergeCell ref="A1:G1"/>
    <mergeCell ref="A6:G6"/>
    <mergeCell ref="B3:F3"/>
    <mergeCell ref="B7:F9"/>
    <mergeCell ref="B2:F2"/>
    <mergeCell ref="B5:F5"/>
    <mergeCell ref="B17:F17"/>
    <mergeCell ref="B19:F19"/>
    <mergeCell ref="B10:F11"/>
    <mergeCell ref="B12:F12"/>
    <mergeCell ref="B14:F15"/>
  </mergeCells>
  <phoneticPr fontId="0" type="noConversion"/>
  <hyperlinks>
    <hyperlink ref="B3:F3" location="OffScaleCalc!E5" display="Off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G25"/>
  <sheetViews>
    <sheetView workbookViewId="0">
      <selection activeCell="B8" sqref="B8:F9"/>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60" customHeight="1" x14ac:dyDescent="0.2">
      <c r="A1" s="740"/>
      <c r="B1" s="728"/>
      <c r="C1" s="728"/>
      <c r="D1" s="728"/>
      <c r="E1" s="728"/>
      <c r="F1" s="728"/>
      <c r="G1" s="728"/>
    </row>
    <row r="2" spans="1:7" ht="24.75" customHeight="1" x14ac:dyDescent="0.2">
      <c r="A2" s="743"/>
      <c r="B2" s="743"/>
      <c r="C2" s="743"/>
      <c r="D2" s="743"/>
      <c r="E2" s="744"/>
      <c r="F2" s="744"/>
      <c r="G2" s="744"/>
    </row>
    <row r="3" spans="1:7" ht="24.75" customHeight="1" x14ac:dyDescent="0.2">
      <c r="A3" s="308"/>
      <c r="B3" s="308"/>
      <c r="C3" s="308"/>
      <c r="D3" s="308"/>
      <c r="E3" s="275"/>
      <c r="F3" s="275"/>
      <c r="G3" s="275"/>
    </row>
    <row r="4" spans="1:7" ht="20.100000000000001" customHeight="1" x14ac:dyDescent="0.25">
      <c r="A4" s="308"/>
      <c r="B4" s="745" t="s">
        <v>94</v>
      </c>
      <c r="C4" s="745"/>
      <c r="D4" s="745"/>
      <c r="E4" s="745"/>
      <c r="F4" s="745"/>
      <c r="G4" s="309"/>
    </row>
    <row r="5" spans="1:7" ht="28.5" customHeight="1" x14ac:dyDescent="0.25">
      <c r="A5" s="308"/>
      <c r="B5" s="745"/>
      <c r="C5" s="745"/>
      <c r="D5" s="745"/>
      <c r="E5" s="745"/>
      <c r="F5" s="745"/>
      <c r="G5" s="309"/>
    </row>
    <row r="6" spans="1:7" ht="20.100000000000001" customHeight="1" x14ac:dyDescent="0.25">
      <c r="A6" s="308"/>
      <c r="B6" s="313"/>
      <c r="C6" s="313"/>
      <c r="D6" s="313"/>
      <c r="E6" s="313"/>
      <c r="F6" s="313"/>
      <c r="G6" s="309"/>
    </row>
    <row r="7" spans="1:7" ht="24.75" customHeight="1" x14ac:dyDescent="0.2">
      <c r="A7" s="310"/>
      <c r="B7" s="314"/>
      <c r="C7" s="314"/>
      <c r="D7" s="314"/>
      <c r="E7" s="314"/>
      <c r="F7" s="275"/>
      <c r="G7" s="275"/>
    </row>
    <row r="8" spans="1:7" ht="24.75" customHeight="1" x14ac:dyDescent="0.2">
      <c r="A8" s="311"/>
      <c r="B8" s="741" t="s">
        <v>120</v>
      </c>
      <c r="C8" s="730"/>
      <c r="D8" s="730"/>
      <c r="E8" s="730"/>
      <c r="F8" s="730"/>
      <c r="G8" s="255"/>
    </row>
    <row r="9" spans="1:7" ht="24.75" customHeight="1" x14ac:dyDescent="0.2">
      <c r="A9" s="258"/>
      <c r="B9" s="730"/>
      <c r="C9" s="730"/>
      <c r="D9" s="730"/>
      <c r="E9" s="730"/>
      <c r="F9" s="730"/>
      <c r="G9" s="255"/>
    </row>
    <row r="10" spans="1:7" ht="24.75" customHeight="1" x14ac:dyDescent="0.2">
      <c r="A10" s="255"/>
      <c r="B10" s="733" t="s">
        <v>141</v>
      </c>
      <c r="C10" s="733"/>
      <c r="D10" s="733"/>
      <c r="E10" s="733"/>
      <c r="F10" s="733"/>
      <c r="G10" s="281"/>
    </row>
    <row r="11" spans="1:7" x14ac:dyDescent="0.2">
      <c r="A11" s="255" t="s">
        <v>40</v>
      </c>
      <c r="B11" s="281" t="s">
        <v>40</v>
      </c>
      <c r="C11" s="281"/>
      <c r="D11" s="281"/>
      <c r="E11" s="281"/>
      <c r="F11" s="281"/>
      <c r="G11" s="281"/>
    </row>
    <row r="12" spans="1:7" ht="24.75" customHeight="1" x14ac:dyDescent="0.2">
      <c r="A12" s="255"/>
      <c r="B12" s="733" t="s">
        <v>214</v>
      </c>
      <c r="C12" s="733"/>
      <c r="D12" s="733"/>
      <c r="E12" s="733"/>
      <c r="F12" s="733"/>
      <c r="G12" s="281"/>
    </row>
    <row r="13" spans="1:7" ht="24.75" customHeight="1" x14ac:dyDescent="0.2">
      <c r="A13" s="255" t="s">
        <v>40</v>
      </c>
      <c r="B13" s="742"/>
      <c r="C13" s="742"/>
      <c r="D13" s="742"/>
      <c r="E13" s="742"/>
      <c r="F13" s="742"/>
      <c r="G13" s="281"/>
    </row>
    <row r="14" spans="1:7" x14ac:dyDescent="0.2">
      <c r="A14" s="255"/>
      <c r="B14" s="281"/>
      <c r="C14" s="281"/>
      <c r="D14" s="281"/>
      <c r="E14" s="281"/>
      <c r="F14" s="281"/>
      <c r="G14" s="281"/>
    </row>
    <row r="15" spans="1:7" x14ac:dyDescent="0.2">
      <c r="A15" s="255"/>
      <c r="B15" s="281"/>
      <c r="C15" s="281"/>
      <c r="D15" s="281"/>
      <c r="E15" s="281"/>
      <c r="F15" s="281"/>
      <c r="G15" s="281"/>
    </row>
    <row r="16" spans="1:7" x14ac:dyDescent="0.2">
      <c r="A16" s="255"/>
      <c r="B16" s="281"/>
      <c r="C16" s="281"/>
      <c r="D16" s="281"/>
      <c r="E16" s="281"/>
      <c r="F16" s="281"/>
      <c r="G16" s="281"/>
    </row>
    <row r="17" spans="1:7" x14ac:dyDescent="0.2">
      <c r="A17" s="255"/>
      <c r="B17" s="255"/>
      <c r="C17" s="255"/>
      <c r="D17" s="255"/>
      <c r="E17" s="255"/>
      <c r="F17" s="255"/>
      <c r="G17" s="255"/>
    </row>
    <row r="18" spans="1:7" x14ac:dyDescent="0.2">
      <c r="A18" s="255"/>
      <c r="B18" s="255"/>
      <c r="C18" s="255"/>
      <c r="D18" s="255"/>
      <c r="E18" s="255"/>
      <c r="F18" s="255"/>
      <c r="G18" s="255"/>
    </row>
    <row r="19" spans="1:7" x14ac:dyDescent="0.2">
      <c r="A19" s="255"/>
      <c r="B19" s="255"/>
      <c r="C19" s="255"/>
      <c r="D19" s="255"/>
      <c r="E19" s="255"/>
      <c r="F19" s="255"/>
      <c r="G19" s="255"/>
    </row>
    <row r="20" spans="1:7" x14ac:dyDescent="0.2">
      <c r="A20" s="255"/>
      <c r="B20" s="255"/>
      <c r="C20" s="255"/>
      <c r="D20" s="255"/>
      <c r="E20" s="255"/>
      <c r="F20" s="255"/>
      <c r="G20" s="255"/>
    </row>
    <row r="21" spans="1:7" x14ac:dyDescent="0.2">
      <c r="A21" s="255"/>
      <c r="B21" s="255"/>
      <c r="C21" s="255"/>
      <c r="D21" s="255"/>
      <c r="E21" s="255"/>
      <c r="F21" s="255"/>
      <c r="G21" s="255"/>
    </row>
    <row r="22" spans="1:7" x14ac:dyDescent="0.2">
      <c r="A22" s="255"/>
      <c r="B22" s="255"/>
      <c r="C22" s="255"/>
      <c r="D22" s="255"/>
      <c r="E22" s="255"/>
      <c r="F22" s="255"/>
      <c r="G22" s="255"/>
    </row>
    <row r="23" spans="1:7" x14ac:dyDescent="0.2">
      <c r="A23" s="255"/>
      <c r="B23" s="255"/>
      <c r="C23" s="255"/>
      <c r="D23" s="255"/>
      <c r="E23" s="255"/>
      <c r="F23" s="255"/>
      <c r="G23" s="255"/>
    </row>
    <row r="24" spans="1:7" x14ac:dyDescent="0.2">
      <c r="A24" s="255"/>
      <c r="B24" s="255"/>
      <c r="C24" s="255"/>
      <c r="D24" s="255"/>
      <c r="E24" s="255"/>
      <c r="F24" s="255"/>
      <c r="G24" s="255"/>
    </row>
    <row r="25" spans="1:7" x14ac:dyDescent="0.2">
      <c r="A25" s="255"/>
      <c r="B25" s="255"/>
      <c r="C25" s="255"/>
      <c r="D25" s="255"/>
      <c r="E25" s="255"/>
      <c r="F25" s="255"/>
      <c r="G25" s="255"/>
    </row>
  </sheetData>
  <sheetProtection password="F4FD" sheet="1" objects="1" scenarios="1"/>
  <mergeCells count="6">
    <mergeCell ref="A1:G1"/>
    <mergeCell ref="B8:F9"/>
    <mergeCell ref="B10:F10"/>
    <mergeCell ref="B12:F13"/>
    <mergeCell ref="A2:G2"/>
    <mergeCell ref="B4:F5"/>
  </mergeCells>
  <phoneticPr fontId="0" type="noConversion"/>
  <hyperlinks>
    <hyperlink ref="B4:F5" location="AboveScaleCalc!E5" display="Above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AE83"/>
  <sheetViews>
    <sheetView zoomScale="125" zoomScaleNormal="125" zoomScalePageLayoutView="125" workbookViewId="0">
      <selection activeCell="B1" sqref="B1"/>
    </sheetView>
  </sheetViews>
  <sheetFormatPr defaultColWidth="8.85546875" defaultRowHeight="12.75" x14ac:dyDescent="0.2"/>
  <cols>
    <col min="2" max="2" width="5.7109375" customWidth="1"/>
    <col min="3" max="3" width="9.85546875" customWidth="1"/>
    <col min="4" max="4" width="9.28515625" customWidth="1"/>
    <col min="5" max="5" width="10.285156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7" width="9.28515625" bestFit="1" customWidth="1"/>
  </cols>
  <sheetData>
    <row r="1" spans="1:31" ht="13.5" thickBot="1" x14ac:dyDescent="0.25">
      <c r="B1" t="s">
        <v>222</v>
      </c>
      <c r="AE1" s="46"/>
    </row>
    <row r="2" spans="1:31" ht="13.5" thickBot="1" x14ac:dyDescent="0.25">
      <c r="A2" s="167"/>
      <c r="B2" s="404" t="s">
        <v>51</v>
      </c>
      <c r="C2" s="405"/>
      <c r="D2" s="406" t="s">
        <v>52</v>
      </c>
      <c r="E2" s="407"/>
      <c r="F2" s="406" t="s">
        <v>53</v>
      </c>
      <c r="G2" s="407"/>
      <c r="H2" s="406" t="s">
        <v>54</v>
      </c>
      <c r="I2" s="407"/>
      <c r="J2" s="746" t="s">
        <v>55</v>
      </c>
      <c r="K2" s="747"/>
      <c r="L2" s="748"/>
      <c r="M2" s="746" t="s">
        <v>56</v>
      </c>
      <c r="N2" s="747"/>
      <c r="O2" s="748"/>
      <c r="P2" s="406"/>
      <c r="Q2" s="408" t="s">
        <v>57</v>
      </c>
      <c r="R2" s="407"/>
      <c r="S2" s="406"/>
      <c r="T2" s="408" t="s">
        <v>58</v>
      </c>
      <c r="U2" s="407"/>
      <c r="V2" s="408"/>
      <c r="W2" s="408" t="s">
        <v>121</v>
      </c>
      <c r="X2" s="407"/>
      <c r="Y2" s="408"/>
      <c r="Z2" s="408" t="s">
        <v>122</v>
      </c>
      <c r="AA2" s="409"/>
      <c r="AE2" s="46"/>
    </row>
    <row r="3" spans="1:31" ht="14.25" thickTop="1" thickBot="1" x14ac:dyDescent="0.25">
      <c r="A3" s="168" t="s">
        <v>59</v>
      </c>
      <c r="B3" s="20" t="s">
        <v>60</v>
      </c>
      <c r="C3" s="173" t="s">
        <v>61</v>
      </c>
      <c r="D3" s="27" t="s">
        <v>52</v>
      </c>
      <c r="E3" s="178" t="s">
        <v>62</v>
      </c>
      <c r="F3" s="27" t="s">
        <v>53</v>
      </c>
      <c r="G3" s="178" t="s">
        <v>62</v>
      </c>
      <c r="H3" s="27" t="s">
        <v>54</v>
      </c>
      <c r="I3" s="178" t="s">
        <v>62</v>
      </c>
      <c r="J3" s="27" t="s">
        <v>55</v>
      </c>
      <c r="K3" s="180" t="s">
        <v>62</v>
      </c>
      <c r="L3" s="186" t="s">
        <v>63</v>
      </c>
      <c r="M3" s="27" t="s">
        <v>56</v>
      </c>
      <c r="N3" s="180" t="s">
        <v>62</v>
      </c>
      <c r="O3" s="186" t="s">
        <v>63</v>
      </c>
      <c r="P3" s="31" t="s">
        <v>57</v>
      </c>
      <c r="Q3" s="182" t="s">
        <v>62</v>
      </c>
      <c r="R3" s="188" t="s">
        <v>63</v>
      </c>
      <c r="S3" s="31" t="s">
        <v>58</v>
      </c>
      <c r="T3" s="182" t="s">
        <v>62</v>
      </c>
      <c r="U3" s="188" t="s">
        <v>63</v>
      </c>
      <c r="V3" s="366" t="s">
        <v>121</v>
      </c>
      <c r="W3" s="363" t="s">
        <v>62</v>
      </c>
      <c r="X3" s="364" t="s">
        <v>63</v>
      </c>
      <c r="Y3" s="365" t="s">
        <v>122</v>
      </c>
      <c r="Z3" s="363" t="s">
        <v>62</v>
      </c>
      <c r="AA3" s="364" t="s">
        <v>63</v>
      </c>
      <c r="AC3" s="361"/>
      <c r="AD3" s="361"/>
      <c r="AE3" s="46"/>
    </row>
    <row r="4" spans="1:31" ht="13.5" thickBot="1" x14ac:dyDescent="0.25">
      <c r="A4" s="169" t="s">
        <v>22</v>
      </c>
      <c r="B4" s="269" t="s">
        <v>84</v>
      </c>
      <c r="C4" s="610">
        <v>59400</v>
      </c>
      <c r="D4" s="609">
        <v>65400</v>
      </c>
      <c r="E4" s="608">
        <f>D4-C4</f>
        <v>6000</v>
      </c>
      <c r="F4" s="616">
        <v>71300</v>
      </c>
      <c r="G4" s="608">
        <f>F4-C4</f>
        <v>11900</v>
      </c>
      <c r="H4" s="616">
        <v>77300</v>
      </c>
      <c r="I4" s="608">
        <f>H4-C4</f>
        <v>17900</v>
      </c>
      <c r="J4" s="616">
        <v>83200</v>
      </c>
      <c r="K4" s="608">
        <f>I4</f>
        <v>17900</v>
      </c>
      <c r="L4" s="402">
        <f>J4-H4</f>
        <v>5900</v>
      </c>
      <c r="M4" s="609">
        <v>89100</v>
      </c>
      <c r="N4" s="608">
        <f>I4</f>
        <v>17900</v>
      </c>
      <c r="O4" s="402">
        <f>M4-H4</f>
        <v>11800</v>
      </c>
      <c r="P4" s="609">
        <v>98100</v>
      </c>
      <c r="Q4" s="608">
        <f>I4</f>
        <v>17900</v>
      </c>
      <c r="R4" s="402">
        <f>P4-H4</f>
        <v>20800</v>
      </c>
      <c r="S4" s="609">
        <v>107000</v>
      </c>
      <c r="T4" s="608">
        <f>I4</f>
        <v>17900</v>
      </c>
      <c r="U4" s="403">
        <f>S4-H4</f>
        <v>29700</v>
      </c>
      <c r="V4" s="609">
        <v>118800</v>
      </c>
      <c r="W4" s="608">
        <f>I4</f>
        <v>17900</v>
      </c>
      <c r="X4" s="402">
        <f>V4-H4</f>
        <v>41500</v>
      </c>
      <c r="Y4" s="609">
        <v>133700</v>
      </c>
      <c r="Z4" s="608">
        <f>I4</f>
        <v>17900</v>
      </c>
      <c r="AA4" s="402">
        <f>Y4-H4</f>
        <v>56400</v>
      </c>
    </row>
    <row r="5" spans="1:31" ht="13.5" thickBot="1" x14ac:dyDescent="0.25">
      <c r="A5" s="170" t="s">
        <v>23</v>
      </c>
      <c r="B5" s="21">
        <v>1</v>
      </c>
      <c r="C5" s="609">
        <v>68900</v>
      </c>
      <c r="D5" s="609">
        <v>75800</v>
      </c>
      <c r="E5" s="608">
        <f t="shared" ref="E5:E25" si="0">D5-C5</f>
        <v>6900</v>
      </c>
      <c r="F5" s="616">
        <v>82700</v>
      </c>
      <c r="G5" s="608">
        <f t="shared" ref="G5:G25" si="1">F5-C5</f>
        <v>13800</v>
      </c>
      <c r="H5" s="616">
        <v>89600</v>
      </c>
      <c r="I5" s="608">
        <f t="shared" ref="I5:I25" si="2">H5-C5</f>
        <v>20700</v>
      </c>
      <c r="J5" s="616">
        <v>96500</v>
      </c>
      <c r="K5" s="608">
        <f t="shared" ref="K5:K25" si="3">I5</f>
        <v>20700</v>
      </c>
      <c r="L5" s="402">
        <f t="shared" ref="L5:L25" si="4">J5-H5</f>
        <v>6900</v>
      </c>
      <c r="M5" s="609">
        <v>103400</v>
      </c>
      <c r="N5" s="608">
        <f t="shared" ref="N5:N25" si="5">I5</f>
        <v>20700</v>
      </c>
      <c r="O5" s="402">
        <f t="shared" ref="O5:O25" si="6">M5-H5</f>
        <v>13800</v>
      </c>
      <c r="P5" s="609">
        <v>113700</v>
      </c>
      <c r="Q5" s="608">
        <f t="shared" ref="Q5:Q25" si="7">I5</f>
        <v>20700</v>
      </c>
      <c r="R5" s="402">
        <f t="shared" ref="R5:R25" si="8">P5-H5</f>
        <v>24100</v>
      </c>
      <c r="S5" s="609">
        <v>124100</v>
      </c>
      <c r="T5" s="608">
        <f t="shared" ref="T5:T25" si="9">I5</f>
        <v>20700</v>
      </c>
      <c r="U5" s="403">
        <f t="shared" ref="U5:U25" si="10">S5-H5</f>
        <v>34500</v>
      </c>
      <c r="V5" s="609">
        <v>137800</v>
      </c>
      <c r="W5" s="608">
        <f t="shared" ref="W5:W25" si="11">I5</f>
        <v>20700</v>
      </c>
      <c r="X5" s="402">
        <f t="shared" ref="X5:X25" si="12">V5-H5</f>
        <v>48200</v>
      </c>
      <c r="Y5" s="609">
        <v>155100</v>
      </c>
      <c r="Z5" s="608">
        <f t="shared" ref="Z5:Z25" si="13">I5</f>
        <v>20700</v>
      </c>
      <c r="AA5" s="402">
        <f t="shared" ref="AA5:AA25" si="14">Y5-H5</f>
        <v>65500</v>
      </c>
    </row>
    <row r="6" spans="1:31" ht="13.5" thickBot="1" x14ac:dyDescent="0.25">
      <c r="A6" s="171"/>
      <c r="B6" s="22">
        <v>2</v>
      </c>
      <c r="C6" s="609">
        <v>73000</v>
      </c>
      <c r="D6" s="609">
        <v>80300</v>
      </c>
      <c r="E6" s="608">
        <f t="shared" si="0"/>
        <v>7300</v>
      </c>
      <c r="F6" s="616">
        <v>87600</v>
      </c>
      <c r="G6" s="608">
        <f t="shared" si="1"/>
        <v>14600</v>
      </c>
      <c r="H6" s="616">
        <v>94900</v>
      </c>
      <c r="I6" s="608">
        <f t="shared" si="2"/>
        <v>21900</v>
      </c>
      <c r="J6" s="616">
        <v>102200</v>
      </c>
      <c r="K6" s="608">
        <f t="shared" si="3"/>
        <v>21900</v>
      </c>
      <c r="L6" s="402">
        <f t="shared" si="4"/>
        <v>7300</v>
      </c>
      <c r="M6" s="609">
        <v>109500</v>
      </c>
      <c r="N6" s="608">
        <f t="shared" si="5"/>
        <v>21900</v>
      </c>
      <c r="O6" s="402">
        <f t="shared" si="6"/>
        <v>14600</v>
      </c>
      <c r="P6" s="609">
        <v>120500</v>
      </c>
      <c r="Q6" s="608">
        <f t="shared" si="7"/>
        <v>21900</v>
      </c>
      <c r="R6" s="402">
        <f t="shared" si="8"/>
        <v>25600</v>
      </c>
      <c r="S6" s="609">
        <v>131400</v>
      </c>
      <c r="T6" s="608">
        <f t="shared" si="9"/>
        <v>21900</v>
      </c>
      <c r="U6" s="403">
        <f t="shared" si="10"/>
        <v>36500</v>
      </c>
      <c r="V6" s="609">
        <v>146000</v>
      </c>
      <c r="W6" s="608">
        <f t="shared" si="11"/>
        <v>21900</v>
      </c>
      <c r="X6" s="402">
        <f t="shared" si="12"/>
        <v>51100</v>
      </c>
      <c r="Y6" s="609">
        <v>164300</v>
      </c>
      <c r="Z6" s="608">
        <f t="shared" si="13"/>
        <v>21900</v>
      </c>
      <c r="AA6" s="402">
        <f t="shared" si="14"/>
        <v>69400</v>
      </c>
    </row>
    <row r="7" spans="1:31" ht="13.5" thickBot="1" x14ac:dyDescent="0.25">
      <c r="A7" s="171"/>
      <c r="B7" s="22">
        <v>3</v>
      </c>
      <c r="C7" s="609">
        <v>77000</v>
      </c>
      <c r="D7" s="609">
        <v>84700</v>
      </c>
      <c r="E7" s="608">
        <f t="shared" si="0"/>
        <v>7700</v>
      </c>
      <c r="F7" s="616">
        <v>92400</v>
      </c>
      <c r="G7" s="608">
        <f t="shared" si="1"/>
        <v>15400</v>
      </c>
      <c r="H7" s="616">
        <v>100100</v>
      </c>
      <c r="I7" s="608">
        <f t="shared" si="2"/>
        <v>23100</v>
      </c>
      <c r="J7" s="616">
        <v>107800</v>
      </c>
      <c r="K7" s="608">
        <f t="shared" si="3"/>
        <v>23100</v>
      </c>
      <c r="L7" s="402">
        <f t="shared" si="4"/>
        <v>7700</v>
      </c>
      <c r="M7" s="609">
        <v>115500</v>
      </c>
      <c r="N7" s="608">
        <f t="shared" si="5"/>
        <v>23100</v>
      </c>
      <c r="O7" s="402">
        <f t="shared" si="6"/>
        <v>15400</v>
      </c>
      <c r="P7" s="609">
        <v>127100</v>
      </c>
      <c r="Q7" s="608">
        <f t="shared" si="7"/>
        <v>23100</v>
      </c>
      <c r="R7" s="402">
        <f t="shared" si="8"/>
        <v>27000</v>
      </c>
      <c r="S7" s="609">
        <v>138600</v>
      </c>
      <c r="T7" s="608">
        <f t="shared" si="9"/>
        <v>23100</v>
      </c>
      <c r="U7" s="403">
        <f t="shared" si="10"/>
        <v>38500</v>
      </c>
      <c r="V7" s="609">
        <v>154000</v>
      </c>
      <c r="W7" s="608">
        <f t="shared" si="11"/>
        <v>23100</v>
      </c>
      <c r="X7" s="402">
        <f t="shared" si="12"/>
        <v>53900</v>
      </c>
      <c r="Y7" s="609">
        <v>173300</v>
      </c>
      <c r="Z7" s="608">
        <f t="shared" si="13"/>
        <v>23100</v>
      </c>
      <c r="AA7" s="402">
        <f t="shared" si="14"/>
        <v>73200</v>
      </c>
    </row>
    <row r="8" spans="1:31" ht="13.5" thickBot="1" x14ac:dyDescent="0.25">
      <c r="A8" s="171"/>
      <c r="B8" s="22">
        <v>4</v>
      </c>
      <c r="C8" s="609">
        <v>81500</v>
      </c>
      <c r="D8" s="609">
        <v>89700</v>
      </c>
      <c r="E8" s="608">
        <f t="shared" si="0"/>
        <v>8200</v>
      </c>
      <c r="F8" s="616">
        <v>97800</v>
      </c>
      <c r="G8" s="608">
        <f t="shared" si="1"/>
        <v>16300</v>
      </c>
      <c r="H8" s="616">
        <v>106000</v>
      </c>
      <c r="I8" s="608">
        <f t="shared" si="2"/>
        <v>24500</v>
      </c>
      <c r="J8" s="616">
        <v>114100</v>
      </c>
      <c r="K8" s="608">
        <f t="shared" si="3"/>
        <v>24500</v>
      </c>
      <c r="L8" s="402">
        <f t="shared" si="4"/>
        <v>8100</v>
      </c>
      <c r="M8" s="609">
        <v>122300</v>
      </c>
      <c r="N8" s="608">
        <f t="shared" si="5"/>
        <v>24500</v>
      </c>
      <c r="O8" s="402">
        <f t="shared" si="6"/>
        <v>16300</v>
      </c>
      <c r="P8" s="609">
        <v>134500</v>
      </c>
      <c r="Q8" s="608">
        <f t="shared" si="7"/>
        <v>24500</v>
      </c>
      <c r="R8" s="402">
        <f t="shared" si="8"/>
        <v>28500</v>
      </c>
      <c r="S8" s="609">
        <v>146700</v>
      </c>
      <c r="T8" s="608">
        <f t="shared" si="9"/>
        <v>24500</v>
      </c>
      <c r="U8" s="403">
        <f t="shared" si="10"/>
        <v>40700</v>
      </c>
      <c r="V8" s="609">
        <v>163000</v>
      </c>
      <c r="W8" s="608">
        <f t="shared" si="11"/>
        <v>24500</v>
      </c>
      <c r="X8" s="402">
        <f t="shared" si="12"/>
        <v>57000</v>
      </c>
      <c r="Y8" s="609">
        <v>183400</v>
      </c>
      <c r="Z8" s="608">
        <f t="shared" si="13"/>
        <v>24500</v>
      </c>
      <c r="AA8" s="402">
        <f t="shared" si="14"/>
        <v>77400</v>
      </c>
    </row>
    <row r="9" spans="1:31" ht="13.5" thickBot="1" x14ac:dyDescent="0.25">
      <c r="A9" s="171"/>
      <c r="B9" s="22">
        <v>5</v>
      </c>
      <c r="C9" s="609">
        <v>85400</v>
      </c>
      <c r="D9" s="609">
        <v>94000</v>
      </c>
      <c r="E9" s="608">
        <f t="shared" si="0"/>
        <v>8600</v>
      </c>
      <c r="F9" s="616">
        <v>102500</v>
      </c>
      <c r="G9" s="608">
        <f t="shared" si="1"/>
        <v>17100</v>
      </c>
      <c r="H9" s="616">
        <v>111100</v>
      </c>
      <c r="I9" s="608">
        <f t="shared" si="2"/>
        <v>25700</v>
      </c>
      <c r="J9" s="616">
        <v>119600</v>
      </c>
      <c r="K9" s="608">
        <f t="shared" si="3"/>
        <v>25700</v>
      </c>
      <c r="L9" s="402">
        <f t="shared" si="4"/>
        <v>8500</v>
      </c>
      <c r="M9" s="609">
        <v>128100</v>
      </c>
      <c r="N9" s="608">
        <f t="shared" si="5"/>
        <v>25700</v>
      </c>
      <c r="O9" s="402">
        <f t="shared" si="6"/>
        <v>17000</v>
      </c>
      <c r="P9" s="609">
        <v>141000</v>
      </c>
      <c r="Q9" s="608">
        <f t="shared" si="7"/>
        <v>25700</v>
      </c>
      <c r="R9" s="402">
        <f t="shared" si="8"/>
        <v>29900</v>
      </c>
      <c r="S9" s="609">
        <v>153800</v>
      </c>
      <c r="T9" s="608">
        <f t="shared" si="9"/>
        <v>25700</v>
      </c>
      <c r="U9" s="403">
        <f t="shared" si="10"/>
        <v>42700</v>
      </c>
      <c r="V9" s="609">
        <v>170800</v>
      </c>
      <c r="W9" s="608">
        <f t="shared" si="11"/>
        <v>25700</v>
      </c>
      <c r="X9" s="402">
        <f t="shared" si="12"/>
        <v>59700</v>
      </c>
      <c r="Y9" s="609">
        <v>192200</v>
      </c>
      <c r="Z9" s="608">
        <f t="shared" si="13"/>
        <v>25700</v>
      </c>
      <c r="AA9" s="402">
        <f t="shared" si="14"/>
        <v>81100</v>
      </c>
    </row>
    <row r="10" spans="1:31" ht="13.5" thickBot="1" x14ac:dyDescent="0.25">
      <c r="A10" s="172"/>
      <c r="B10" s="23">
        <v>6</v>
      </c>
      <c r="C10" s="609">
        <v>89600</v>
      </c>
      <c r="D10" s="609">
        <v>98600</v>
      </c>
      <c r="E10" s="608">
        <f t="shared" si="0"/>
        <v>9000</v>
      </c>
      <c r="F10" s="616">
        <v>107600</v>
      </c>
      <c r="G10" s="608">
        <f t="shared" si="1"/>
        <v>18000</v>
      </c>
      <c r="H10" s="616">
        <v>116500</v>
      </c>
      <c r="I10" s="608">
        <f t="shared" si="2"/>
        <v>26900</v>
      </c>
      <c r="J10" s="616">
        <v>125500</v>
      </c>
      <c r="K10" s="608">
        <f t="shared" si="3"/>
        <v>26900</v>
      </c>
      <c r="L10" s="402">
        <f t="shared" si="4"/>
        <v>9000</v>
      </c>
      <c r="M10" s="609">
        <v>134400</v>
      </c>
      <c r="N10" s="608">
        <f t="shared" si="5"/>
        <v>26900</v>
      </c>
      <c r="O10" s="402">
        <f t="shared" si="6"/>
        <v>17900</v>
      </c>
      <c r="P10" s="609">
        <v>147900</v>
      </c>
      <c r="Q10" s="608">
        <f t="shared" si="7"/>
        <v>26900</v>
      </c>
      <c r="R10" s="402">
        <f t="shared" si="8"/>
        <v>31400</v>
      </c>
      <c r="S10" s="609">
        <v>161300</v>
      </c>
      <c r="T10" s="608">
        <f t="shared" si="9"/>
        <v>26900</v>
      </c>
      <c r="U10" s="403">
        <f t="shared" si="10"/>
        <v>44800</v>
      </c>
      <c r="V10" s="609">
        <v>179200</v>
      </c>
      <c r="W10" s="608">
        <f t="shared" si="11"/>
        <v>26900</v>
      </c>
      <c r="X10" s="402">
        <f t="shared" si="12"/>
        <v>62700</v>
      </c>
      <c r="Y10" s="609">
        <v>201600</v>
      </c>
      <c r="Z10" s="608">
        <f t="shared" si="13"/>
        <v>26900</v>
      </c>
      <c r="AA10" s="402">
        <f t="shared" si="14"/>
        <v>85100</v>
      </c>
    </row>
    <row r="11" spans="1:31" ht="13.5" thickBot="1" x14ac:dyDescent="0.25">
      <c r="A11" s="170" t="s">
        <v>24</v>
      </c>
      <c r="B11" s="21">
        <v>1</v>
      </c>
      <c r="C11" s="609">
        <v>85500</v>
      </c>
      <c r="D11" s="609">
        <v>94100</v>
      </c>
      <c r="E11" s="608">
        <f t="shared" si="0"/>
        <v>8600</v>
      </c>
      <c r="F11" s="616">
        <v>102600</v>
      </c>
      <c r="G11" s="608">
        <f t="shared" si="1"/>
        <v>17100</v>
      </c>
      <c r="H11" s="616">
        <v>111200</v>
      </c>
      <c r="I11" s="608">
        <f t="shared" si="2"/>
        <v>25700</v>
      </c>
      <c r="J11" s="616">
        <v>119700</v>
      </c>
      <c r="K11" s="608">
        <f t="shared" si="3"/>
        <v>25700</v>
      </c>
      <c r="L11" s="402">
        <f t="shared" si="4"/>
        <v>8500</v>
      </c>
      <c r="M11" s="609">
        <v>128300</v>
      </c>
      <c r="N11" s="608">
        <f t="shared" si="5"/>
        <v>25700</v>
      </c>
      <c r="O11" s="402">
        <f t="shared" si="6"/>
        <v>17100</v>
      </c>
      <c r="P11" s="609">
        <v>141100</v>
      </c>
      <c r="Q11" s="608">
        <f t="shared" si="7"/>
        <v>25700</v>
      </c>
      <c r="R11" s="402">
        <f t="shared" si="8"/>
        <v>29900</v>
      </c>
      <c r="S11" s="609">
        <v>153900</v>
      </c>
      <c r="T11" s="608">
        <f t="shared" si="9"/>
        <v>25700</v>
      </c>
      <c r="U11" s="403">
        <f t="shared" si="10"/>
        <v>42700</v>
      </c>
      <c r="V11" s="609">
        <v>171000</v>
      </c>
      <c r="W11" s="608">
        <f t="shared" si="11"/>
        <v>25700</v>
      </c>
      <c r="X11" s="402">
        <f t="shared" si="12"/>
        <v>59800</v>
      </c>
      <c r="Y11" s="609">
        <v>192400</v>
      </c>
      <c r="Z11" s="608">
        <f t="shared" si="13"/>
        <v>25700</v>
      </c>
      <c r="AA11" s="402">
        <f t="shared" si="14"/>
        <v>81200</v>
      </c>
    </row>
    <row r="12" spans="1:31" ht="13.5" thickBot="1" x14ac:dyDescent="0.25">
      <c r="A12" s="171"/>
      <c r="B12" s="22">
        <v>2</v>
      </c>
      <c r="C12" s="609">
        <v>89700</v>
      </c>
      <c r="D12" s="609">
        <v>98700</v>
      </c>
      <c r="E12" s="608">
        <f t="shared" si="0"/>
        <v>9000</v>
      </c>
      <c r="F12" s="616">
        <v>107700</v>
      </c>
      <c r="G12" s="608">
        <f t="shared" si="1"/>
        <v>18000</v>
      </c>
      <c r="H12" s="616">
        <v>116700</v>
      </c>
      <c r="I12" s="608">
        <f t="shared" si="2"/>
        <v>27000</v>
      </c>
      <c r="J12" s="616">
        <v>125600</v>
      </c>
      <c r="K12" s="608">
        <f t="shared" si="3"/>
        <v>27000</v>
      </c>
      <c r="L12" s="402">
        <f t="shared" si="4"/>
        <v>8900</v>
      </c>
      <c r="M12" s="609">
        <v>134600</v>
      </c>
      <c r="N12" s="608">
        <f t="shared" si="5"/>
        <v>27000</v>
      </c>
      <c r="O12" s="402">
        <f t="shared" si="6"/>
        <v>17900</v>
      </c>
      <c r="P12" s="609">
        <v>148100</v>
      </c>
      <c r="Q12" s="608">
        <f t="shared" si="7"/>
        <v>27000</v>
      </c>
      <c r="R12" s="402">
        <f t="shared" si="8"/>
        <v>31400</v>
      </c>
      <c r="S12" s="609">
        <v>161500</v>
      </c>
      <c r="T12" s="608">
        <f t="shared" si="9"/>
        <v>27000</v>
      </c>
      <c r="U12" s="403">
        <f t="shared" si="10"/>
        <v>44800</v>
      </c>
      <c r="V12" s="609">
        <v>179400</v>
      </c>
      <c r="W12" s="608">
        <f t="shared" si="11"/>
        <v>27000</v>
      </c>
      <c r="X12" s="402">
        <f t="shared" si="12"/>
        <v>62700</v>
      </c>
      <c r="Y12" s="609">
        <v>201900</v>
      </c>
      <c r="Z12" s="608">
        <f t="shared" si="13"/>
        <v>27000</v>
      </c>
      <c r="AA12" s="402">
        <f t="shared" si="14"/>
        <v>85200</v>
      </c>
    </row>
    <row r="13" spans="1:31" ht="13.5" thickBot="1" x14ac:dyDescent="0.25">
      <c r="A13" s="171"/>
      <c r="B13" s="22">
        <v>3</v>
      </c>
      <c r="C13" s="609">
        <v>94600</v>
      </c>
      <c r="D13" s="609">
        <v>104100</v>
      </c>
      <c r="E13" s="608">
        <f t="shared" si="0"/>
        <v>9500</v>
      </c>
      <c r="F13" s="616">
        <v>113600</v>
      </c>
      <c r="G13" s="608">
        <f t="shared" si="1"/>
        <v>19000</v>
      </c>
      <c r="H13" s="616">
        <v>123000</v>
      </c>
      <c r="I13" s="608">
        <f t="shared" si="2"/>
        <v>28400</v>
      </c>
      <c r="J13" s="616">
        <v>132500</v>
      </c>
      <c r="K13" s="608">
        <f t="shared" si="3"/>
        <v>28400</v>
      </c>
      <c r="L13" s="402">
        <f t="shared" si="4"/>
        <v>9500</v>
      </c>
      <c r="M13" s="609">
        <v>141900</v>
      </c>
      <c r="N13" s="608">
        <f t="shared" si="5"/>
        <v>28400</v>
      </c>
      <c r="O13" s="402">
        <f t="shared" si="6"/>
        <v>18900</v>
      </c>
      <c r="P13" s="609">
        <v>156100</v>
      </c>
      <c r="Q13" s="608">
        <f t="shared" si="7"/>
        <v>28400</v>
      </c>
      <c r="R13" s="402">
        <f t="shared" si="8"/>
        <v>33100</v>
      </c>
      <c r="S13" s="609">
        <v>170300</v>
      </c>
      <c r="T13" s="608">
        <f t="shared" si="9"/>
        <v>28400</v>
      </c>
      <c r="U13" s="403">
        <f t="shared" si="10"/>
        <v>47300</v>
      </c>
      <c r="V13" s="609">
        <v>189200</v>
      </c>
      <c r="W13" s="608">
        <f t="shared" si="11"/>
        <v>28400</v>
      </c>
      <c r="X13" s="402">
        <f t="shared" si="12"/>
        <v>66200</v>
      </c>
      <c r="Y13" s="609">
        <v>212900</v>
      </c>
      <c r="Z13" s="608">
        <f t="shared" si="13"/>
        <v>28400</v>
      </c>
      <c r="AA13" s="402">
        <f t="shared" si="14"/>
        <v>89900</v>
      </c>
    </row>
    <row r="14" spans="1:31" ht="13.5" thickBot="1" x14ac:dyDescent="0.25">
      <c r="A14" s="171"/>
      <c r="B14" s="22">
        <v>4</v>
      </c>
      <c r="C14" s="609">
        <v>100500</v>
      </c>
      <c r="D14" s="609">
        <v>110600</v>
      </c>
      <c r="E14" s="608">
        <f t="shared" si="0"/>
        <v>10100</v>
      </c>
      <c r="F14" s="616">
        <v>120600</v>
      </c>
      <c r="G14" s="608">
        <f t="shared" si="1"/>
        <v>20100</v>
      </c>
      <c r="H14" s="616">
        <v>130700</v>
      </c>
      <c r="I14" s="608">
        <f t="shared" si="2"/>
        <v>30200</v>
      </c>
      <c r="J14" s="616">
        <v>140700</v>
      </c>
      <c r="K14" s="608">
        <f t="shared" si="3"/>
        <v>30200</v>
      </c>
      <c r="L14" s="402">
        <f t="shared" si="4"/>
        <v>10000</v>
      </c>
      <c r="M14" s="609">
        <v>150800</v>
      </c>
      <c r="N14" s="608">
        <f t="shared" si="5"/>
        <v>30200</v>
      </c>
      <c r="O14" s="402">
        <f t="shared" si="6"/>
        <v>20100</v>
      </c>
      <c r="P14" s="609">
        <v>165900</v>
      </c>
      <c r="Q14" s="608">
        <f t="shared" si="7"/>
        <v>30200</v>
      </c>
      <c r="R14" s="402">
        <f t="shared" si="8"/>
        <v>35200</v>
      </c>
      <c r="S14" s="609">
        <v>180900</v>
      </c>
      <c r="T14" s="608">
        <f t="shared" si="9"/>
        <v>30200</v>
      </c>
      <c r="U14" s="403">
        <f t="shared" si="10"/>
        <v>50200</v>
      </c>
      <c r="V14" s="609">
        <v>201000</v>
      </c>
      <c r="W14" s="608">
        <f t="shared" si="11"/>
        <v>30200</v>
      </c>
      <c r="X14" s="402">
        <f t="shared" si="12"/>
        <v>70300</v>
      </c>
      <c r="Y14" s="609">
        <v>226200</v>
      </c>
      <c r="Z14" s="608">
        <f t="shared" si="13"/>
        <v>30200</v>
      </c>
      <c r="AA14" s="402">
        <f t="shared" si="14"/>
        <v>95500</v>
      </c>
    </row>
    <row r="15" spans="1:31" ht="13.5" thickBot="1" x14ac:dyDescent="0.25">
      <c r="A15" s="172"/>
      <c r="B15" s="23">
        <v>5</v>
      </c>
      <c r="C15" s="609">
        <v>108400</v>
      </c>
      <c r="D15" s="609">
        <v>119300</v>
      </c>
      <c r="E15" s="608">
        <f t="shared" si="0"/>
        <v>10900</v>
      </c>
      <c r="F15" s="616">
        <v>130100</v>
      </c>
      <c r="G15" s="608">
        <f t="shared" si="1"/>
        <v>21700</v>
      </c>
      <c r="H15" s="616">
        <v>141000</v>
      </c>
      <c r="I15" s="608">
        <f t="shared" si="2"/>
        <v>32600</v>
      </c>
      <c r="J15" s="616">
        <v>151800</v>
      </c>
      <c r="K15" s="608">
        <f t="shared" si="3"/>
        <v>32600</v>
      </c>
      <c r="L15" s="402">
        <f t="shared" si="4"/>
        <v>10800</v>
      </c>
      <c r="M15" s="609">
        <v>162600</v>
      </c>
      <c r="N15" s="608">
        <f t="shared" si="5"/>
        <v>32600</v>
      </c>
      <c r="O15" s="402">
        <f t="shared" si="6"/>
        <v>21600</v>
      </c>
      <c r="P15" s="609">
        <v>178900</v>
      </c>
      <c r="Q15" s="608">
        <f t="shared" si="7"/>
        <v>32600</v>
      </c>
      <c r="R15" s="402">
        <f t="shared" si="8"/>
        <v>37900</v>
      </c>
      <c r="S15" s="609">
        <v>195200</v>
      </c>
      <c r="T15" s="608">
        <f t="shared" si="9"/>
        <v>32600</v>
      </c>
      <c r="U15" s="403">
        <f t="shared" si="10"/>
        <v>54200</v>
      </c>
      <c r="V15" s="609">
        <v>216800</v>
      </c>
      <c r="W15" s="608">
        <f t="shared" si="11"/>
        <v>32600</v>
      </c>
      <c r="X15" s="402">
        <f t="shared" si="12"/>
        <v>75800</v>
      </c>
      <c r="Y15" s="609">
        <v>243900</v>
      </c>
      <c r="Z15" s="608">
        <f t="shared" si="13"/>
        <v>32600</v>
      </c>
      <c r="AA15" s="402">
        <f t="shared" si="14"/>
        <v>102900</v>
      </c>
    </row>
    <row r="16" spans="1:31" ht="13.5" thickBot="1" x14ac:dyDescent="0.25">
      <c r="A16" s="170" t="s">
        <v>25</v>
      </c>
      <c r="B16" s="21">
        <v>1</v>
      </c>
      <c r="C16" s="609">
        <v>100600</v>
      </c>
      <c r="D16" s="609">
        <v>110700</v>
      </c>
      <c r="E16" s="608">
        <f t="shared" si="0"/>
        <v>10100</v>
      </c>
      <c r="F16" s="616">
        <v>120800</v>
      </c>
      <c r="G16" s="608">
        <f t="shared" si="1"/>
        <v>20200</v>
      </c>
      <c r="H16" s="616">
        <v>130800</v>
      </c>
      <c r="I16" s="608">
        <f t="shared" si="2"/>
        <v>30200</v>
      </c>
      <c r="J16" s="616">
        <v>140900</v>
      </c>
      <c r="K16" s="608">
        <f t="shared" si="3"/>
        <v>30200</v>
      </c>
      <c r="L16" s="402">
        <f t="shared" si="4"/>
        <v>10100</v>
      </c>
      <c r="M16" s="609">
        <v>150900</v>
      </c>
      <c r="N16" s="608">
        <f t="shared" si="5"/>
        <v>30200</v>
      </c>
      <c r="O16" s="402">
        <f t="shared" si="6"/>
        <v>20100</v>
      </c>
      <c r="P16" s="609">
        <v>166000</v>
      </c>
      <c r="Q16" s="608">
        <f t="shared" si="7"/>
        <v>30200</v>
      </c>
      <c r="R16" s="402">
        <f t="shared" si="8"/>
        <v>35200</v>
      </c>
      <c r="S16" s="609">
        <v>181100</v>
      </c>
      <c r="T16" s="608">
        <f t="shared" si="9"/>
        <v>30200</v>
      </c>
      <c r="U16" s="403">
        <f t="shared" si="10"/>
        <v>50300</v>
      </c>
      <c r="V16" s="609">
        <v>201200</v>
      </c>
      <c r="W16" s="608">
        <f t="shared" si="11"/>
        <v>30200</v>
      </c>
      <c r="X16" s="402">
        <f t="shared" si="12"/>
        <v>70400</v>
      </c>
      <c r="Y16" s="609">
        <v>226400</v>
      </c>
      <c r="Z16" s="608">
        <f t="shared" si="13"/>
        <v>30200</v>
      </c>
      <c r="AA16" s="402">
        <f t="shared" si="14"/>
        <v>95600</v>
      </c>
    </row>
    <row r="17" spans="1:27" ht="13.5" thickBot="1" x14ac:dyDescent="0.25">
      <c r="A17" s="171"/>
      <c r="B17" s="22">
        <v>2</v>
      </c>
      <c r="C17" s="609">
        <v>108500</v>
      </c>
      <c r="D17" s="609">
        <v>119400</v>
      </c>
      <c r="E17" s="608">
        <f t="shared" si="0"/>
        <v>10900</v>
      </c>
      <c r="F17" s="616">
        <v>130200</v>
      </c>
      <c r="G17" s="608">
        <f t="shared" si="1"/>
        <v>21700</v>
      </c>
      <c r="H17" s="616">
        <v>141100</v>
      </c>
      <c r="I17" s="608">
        <f t="shared" si="2"/>
        <v>32600</v>
      </c>
      <c r="J17" s="616">
        <v>151900</v>
      </c>
      <c r="K17" s="608">
        <f t="shared" si="3"/>
        <v>32600</v>
      </c>
      <c r="L17" s="402">
        <f t="shared" si="4"/>
        <v>10800</v>
      </c>
      <c r="M17" s="609">
        <v>162800</v>
      </c>
      <c r="N17" s="608">
        <f t="shared" si="5"/>
        <v>32600</v>
      </c>
      <c r="O17" s="402">
        <f t="shared" si="6"/>
        <v>21700</v>
      </c>
      <c r="P17" s="609">
        <v>179100</v>
      </c>
      <c r="Q17" s="608">
        <f t="shared" si="7"/>
        <v>32600</v>
      </c>
      <c r="R17" s="402">
        <f t="shared" si="8"/>
        <v>38000</v>
      </c>
      <c r="S17" s="609">
        <v>195300</v>
      </c>
      <c r="T17" s="608">
        <f t="shared" si="9"/>
        <v>32600</v>
      </c>
      <c r="U17" s="403">
        <f t="shared" si="10"/>
        <v>54200</v>
      </c>
      <c r="V17" s="609">
        <v>217000</v>
      </c>
      <c r="W17" s="608">
        <f t="shared" si="11"/>
        <v>32600</v>
      </c>
      <c r="X17" s="402">
        <f t="shared" si="12"/>
        <v>75900</v>
      </c>
      <c r="Y17" s="609">
        <v>244200</v>
      </c>
      <c r="Z17" s="608">
        <f t="shared" si="13"/>
        <v>32600</v>
      </c>
      <c r="AA17" s="402">
        <f t="shared" si="14"/>
        <v>103100</v>
      </c>
    </row>
    <row r="18" spans="1:27" ht="13.5" thickBot="1" x14ac:dyDescent="0.25">
      <c r="A18" s="171"/>
      <c r="B18" s="22">
        <v>3</v>
      </c>
      <c r="C18" s="609">
        <v>116300</v>
      </c>
      <c r="D18" s="609">
        <v>128000</v>
      </c>
      <c r="E18" s="608">
        <f t="shared" si="0"/>
        <v>11700</v>
      </c>
      <c r="F18" s="616">
        <v>139600</v>
      </c>
      <c r="G18" s="608">
        <f t="shared" si="1"/>
        <v>23300</v>
      </c>
      <c r="H18" s="616">
        <v>151200</v>
      </c>
      <c r="I18" s="608">
        <f t="shared" si="2"/>
        <v>34900</v>
      </c>
      <c r="J18" s="616">
        <v>162900</v>
      </c>
      <c r="K18" s="608">
        <f t="shared" si="3"/>
        <v>34900</v>
      </c>
      <c r="L18" s="402">
        <f t="shared" si="4"/>
        <v>11700</v>
      </c>
      <c r="M18" s="609">
        <v>174500</v>
      </c>
      <c r="N18" s="608">
        <f t="shared" si="5"/>
        <v>34900</v>
      </c>
      <c r="O18" s="402">
        <f t="shared" si="6"/>
        <v>23300</v>
      </c>
      <c r="P18" s="609">
        <v>191900</v>
      </c>
      <c r="Q18" s="608">
        <f t="shared" si="7"/>
        <v>34900</v>
      </c>
      <c r="R18" s="402">
        <f t="shared" si="8"/>
        <v>40700</v>
      </c>
      <c r="S18" s="609">
        <v>209400</v>
      </c>
      <c r="T18" s="608">
        <f t="shared" si="9"/>
        <v>34900</v>
      </c>
      <c r="U18" s="403">
        <f t="shared" si="10"/>
        <v>58200</v>
      </c>
      <c r="V18" s="609">
        <v>232600</v>
      </c>
      <c r="W18" s="608">
        <f t="shared" si="11"/>
        <v>34900</v>
      </c>
      <c r="X18" s="402">
        <f t="shared" si="12"/>
        <v>81400</v>
      </c>
      <c r="Y18" s="609">
        <v>261700</v>
      </c>
      <c r="Z18" s="608">
        <f t="shared" si="13"/>
        <v>34900</v>
      </c>
      <c r="AA18" s="402">
        <f t="shared" si="14"/>
        <v>110500</v>
      </c>
    </row>
    <row r="19" spans="1:27" ht="13.5" thickBot="1" x14ac:dyDescent="0.25">
      <c r="A19" s="171"/>
      <c r="B19" s="22">
        <v>4</v>
      </c>
      <c r="C19" s="609">
        <v>124700</v>
      </c>
      <c r="D19" s="609">
        <v>137200</v>
      </c>
      <c r="E19" s="608">
        <f t="shared" si="0"/>
        <v>12500</v>
      </c>
      <c r="F19" s="616">
        <v>149700</v>
      </c>
      <c r="G19" s="608">
        <f t="shared" si="1"/>
        <v>25000</v>
      </c>
      <c r="H19" s="616">
        <v>162200</v>
      </c>
      <c r="I19" s="608">
        <f t="shared" si="2"/>
        <v>37500</v>
      </c>
      <c r="J19" s="616">
        <v>174600</v>
      </c>
      <c r="K19" s="608">
        <f t="shared" si="3"/>
        <v>37500</v>
      </c>
      <c r="L19" s="402">
        <f t="shared" si="4"/>
        <v>12400</v>
      </c>
      <c r="M19" s="609">
        <v>187100</v>
      </c>
      <c r="N19" s="608">
        <f t="shared" si="5"/>
        <v>37500</v>
      </c>
      <c r="O19" s="402">
        <f t="shared" si="6"/>
        <v>24900</v>
      </c>
      <c r="P19" s="609">
        <v>205800</v>
      </c>
      <c r="Q19" s="608">
        <f t="shared" si="7"/>
        <v>37500</v>
      </c>
      <c r="R19" s="402">
        <f t="shared" si="8"/>
        <v>43600</v>
      </c>
      <c r="S19" s="609">
        <v>224500</v>
      </c>
      <c r="T19" s="608">
        <f t="shared" si="9"/>
        <v>37500</v>
      </c>
      <c r="U19" s="403">
        <f t="shared" si="10"/>
        <v>62300</v>
      </c>
      <c r="V19" s="609">
        <v>249400</v>
      </c>
      <c r="W19" s="608">
        <f t="shared" si="11"/>
        <v>37500</v>
      </c>
      <c r="X19" s="402">
        <f t="shared" si="12"/>
        <v>87200</v>
      </c>
      <c r="Y19" s="609">
        <v>280600</v>
      </c>
      <c r="Z19" s="608">
        <f t="shared" si="13"/>
        <v>37500</v>
      </c>
      <c r="AA19" s="402">
        <f t="shared" si="14"/>
        <v>118400</v>
      </c>
    </row>
    <row r="20" spans="1:27" ht="13.5" thickBot="1" x14ac:dyDescent="0.25">
      <c r="A20" s="171"/>
      <c r="B20" s="22">
        <v>5</v>
      </c>
      <c r="C20" s="609">
        <v>133600</v>
      </c>
      <c r="D20" s="609">
        <v>147000</v>
      </c>
      <c r="E20" s="608">
        <f t="shared" si="0"/>
        <v>13400</v>
      </c>
      <c r="F20" s="616">
        <v>160400</v>
      </c>
      <c r="G20" s="608">
        <f t="shared" si="1"/>
        <v>26800</v>
      </c>
      <c r="H20" s="616">
        <v>173700</v>
      </c>
      <c r="I20" s="608">
        <f t="shared" si="2"/>
        <v>40100</v>
      </c>
      <c r="J20" s="616">
        <v>187100</v>
      </c>
      <c r="K20" s="608">
        <f t="shared" si="3"/>
        <v>40100</v>
      </c>
      <c r="L20" s="402">
        <f t="shared" si="4"/>
        <v>13400</v>
      </c>
      <c r="M20" s="609">
        <v>200400</v>
      </c>
      <c r="N20" s="608">
        <f t="shared" si="5"/>
        <v>40100</v>
      </c>
      <c r="O20" s="402">
        <f t="shared" si="6"/>
        <v>26700</v>
      </c>
      <c r="P20" s="609">
        <v>220500</v>
      </c>
      <c r="Q20" s="608">
        <f t="shared" si="7"/>
        <v>40100</v>
      </c>
      <c r="R20" s="402">
        <f t="shared" si="8"/>
        <v>46800</v>
      </c>
      <c r="S20" s="609">
        <v>240500</v>
      </c>
      <c r="T20" s="608">
        <f t="shared" si="9"/>
        <v>40100</v>
      </c>
      <c r="U20" s="403">
        <f t="shared" si="10"/>
        <v>66800</v>
      </c>
      <c r="V20" s="609">
        <v>267200</v>
      </c>
      <c r="W20" s="608">
        <f t="shared" si="11"/>
        <v>40100</v>
      </c>
      <c r="X20" s="402">
        <f t="shared" si="12"/>
        <v>93500</v>
      </c>
      <c r="Y20" s="609">
        <v>300600</v>
      </c>
      <c r="Z20" s="608">
        <f t="shared" si="13"/>
        <v>40100</v>
      </c>
      <c r="AA20" s="402">
        <f t="shared" si="14"/>
        <v>126900</v>
      </c>
    </row>
    <row r="21" spans="1:27" ht="13.5" thickBot="1" x14ac:dyDescent="0.25">
      <c r="A21" s="171"/>
      <c r="B21" s="22">
        <v>6</v>
      </c>
      <c r="C21" s="609">
        <v>144700</v>
      </c>
      <c r="D21" s="609">
        <v>159200</v>
      </c>
      <c r="E21" s="608">
        <f t="shared" si="0"/>
        <v>14500</v>
      </c>
      <c r="F21" s="616">
        <v>173700</v>
      </c>
      <c r="G21" s="608">
        <f t="shared" si="1"/>
        <v>29000</v>
      </c>
      <c r="H21" s="616">
        <v>188200</v>
      </c>
      <c r="I21" s="608">
        <f t="shared" si="2"/>
        <v>43500</v>
      </c>
      <c r="J21" s="616">
        <v>202600</v>
      </c>
      <c r="K21" s="608">
        <f t="shared" si="3"/>
        <v>43500</v>
      </c>
      <c r="L21" s="402">
        <f t="shared" si="4"/>
        <v>14400</v>
      </c>
      <c r="M21" s="609">
        <v>217100</v>
      </c>
      <c r="N21" s="608">
        <f t="shared" si="5"/>
        <v>43500</v>
      </c>
      <c r="O21" s="402">
        <f t="shared" si="6"/>
        <v>28900</v>
      </c>
      <c r="P21" s="609">
        <v>238800</v>
      </c>
      <c r="Q21" s="608">
        <f t="shared" si="7"/>
        <v>43500</v>
      </c>
      <c r="R21" s="402">
        <f t="shared" si="8"/>
        <v>50600</v>
      </c>
      <c r="S21" s="609">
        <v>260500</v>
      </c>
      <c r="T21" s="608">
        <f t="shared" si="9"/>
        <v>43500</v>
      </c>
      <c r="U21" s="403">
        <f t="shared" si="10"/>
        <v>72300</v>
      </c>
      <c r="V21" s="609">
        <v>289400</v>
      </c>
      <c r="W21" s="608">
        <f t="shared" si="11"/>
        <v>43500</v>
      </c>
      <c r="X21" s="402">
        <f t="shared" si="12"/>
        <v>101200</v>
      </c>
      <c r="Y21" s="609">
        <v>325600</v>
      </c>
      <c r="Z21" s="608">
        <f t="shared" si="13"/>
        <v>43500</v>
      </c>
      <c r="AA21" s="402">
        <f t="shared" si="14"/>
        <v>137400</v>
      </c>
    </row>
    <row r="22" spans="1:27" ht="13.5" thickBot="1" x14ac:dyDescent="0.25">
      <c r="A22" s="171"/>
      <c r="B22" s="22">
        <v>7</v>
      </c>
      <c r="C22" s="609">
        <v>156600</v>
      </c>
      <c r="D22" s="609">
        <v>172300</v>
      </c>
      <c r="E22" s="608">
        <f t="shared" si="0"/>
        <v>15700</v>
      </c>
      <c r="F22" s="616">
        <v>188000</v>
      </c>
      <c r="G22" s="608">
        <f t="shared" si="1"/>
        <v>31400</v>
      </c>
      <c r="H22" s="616">
        <v>203600</v>
      </c>
      <c r="I22" s="608">
        <f t="shared" si="2"/>
        <v>47000</v>
      </c>
      <c r="J22" s="616">
        <v>219300</v>
      </c>
      <c r="K22" s="608">
        <f t="shared" si="3"/>
        <v>47000</v>
      </c>
      <c r="L22" s="402">
        <f t="shared" si="4"/>
        <v>15700</v>
      </c>
      <c r="M22" s="609">
        <v>234900</v>
      </c>
      <c r="N22" s="608">
        <f t="shared" si="5"/>
        <v>47000</v>
      </c>
      <c r="O22" s="402">
        <f t="shared" si="6"/>
        <v>31300</v>
      </c>
      <c r="P22" s="609">
        <v>258400</v>
      </c>
      <c r="Q22" s="608">
        <f t="shared" si="7"/>
        <v>47000</v>
      </c>
      <c r="R22" s="402">
        <f t="shared" si="8"/>
        <v>54800</v>
      </c>
      <c r="S22" s="609">
        <v>281900</v>
      </c>
      <c r="T22" s="608">
        <f t="shared" si="9"/>
        <v>47000</v>
      </c>
      <c r="U22" s="403">
        <f t="shared" si="10"/>
        <v>78300</v>
      </c>
      <c r="V22" s="609">
        <v>313200</v>
      </c>
      <c r="W22" s="608">
        <f t="shared" si="11"/>
        <v>47000</v>
      </c>
      <c r="X22" s="402">
        <f t="shared" si="12"/>
        <v>109600</v>
      </c>
      <c r="Y22" s="609">
        <v>352400</v>
      </c>
      <c r="Z22" s="608">
        <f t="shared" si="13"/>
        <v>47000</v>
      </c>
      <c r="AA22" s="402">
        <f t="shared" si="14"/>
        <v>148800</v>
      </c>
    </row>
    <row r="23" spans="1:27" ht="13.5" thickBot="1" x14ac:dyDescent="0.25">
      <c r="A23" s="342"/>
      <c r="B23" s="344">
        <v>8</v>
      </c>
      <c r="C23" s="609">
        <v>169600</v>
      </c>
      <c r="D23" s="609">
        <v>186600</v>
      </c>
      <c r="E23" s="608">
        <f t="shared" si="0"/>
        <v>17000</v>
      </c>
      <c r="F23" s="616">
        <v>203600</v>
      </c>
      <c r="G23" s="608">
        <f t="shared" si="1"/>
        <v>34000</v>
      </c>
      <c r="H23" s="616">
        <v>220500</v>
      </c>
      <c r="I23" s="608">
        <f t="shared" si="2"/>
        <v>50900</v>
      </c>
      <c r="J23" s="616">
        <v>237500</v>
      </c>
      <c r="K23" s="608">
        <f t="shared" si="3"/>
        <v>50900</v>
      </c>
      <c r="L23" s="402">
        <f t="shared" si="4"/>
        <v>17000</v>
      </c>
      <c r="M23" s="609">
        <v>254400</v>
      </c>
      <c r="N23" s="608">
        <f t="shared" si="5"/>
        <v>50900</v>
      </c>
      <c r="O23" s="402">
        <f t="shared" si="6"/>
        <v>33900</v>
      </c>
      <c r="P23" s="609">
        <v>279900</v>
      </c>
      <c r="Q23" s="608">
        <f t="shared" si="7"/>
        <v>50900</v>
      </c>
      <c r="R23" s="402">
        <f t="shared" si="8"/>
        <v>59400</v>
      </c>
      <c r="S23" s="609">
        <v>305300</v>
      </c>
      <c r="T23" s="608">
        <f t="shared" si="9"/>
        <v>50900</v>
      </c>
      <c r="U23" s="403">
        <f t="shared" si="10"/>
        <v>84800</v>
      </c>
      <c r="V23" s="609">
        <v>339200</v>
      </c>
      <c r="W23" s="608">
        <f t="shared" si="11"/>
        <v>50900</v>
      </c>
      <c r="X23" s="402">
        <f t="shared" si="12"/>
        <v>118700</v>
      </c>
      <c r="Y23" s="609">
        <v>381600</v>
      </c>
      <c r="Z23" s="608">
        <f t="shared" si="13"/>
        <v>50900</v>
      </c>
      <c r="AA23" s="402">
        <f t="shared" si="14"/>
        <v>161100</v>
      </c>
    </row>
    <row r="24" spans="1:27" ht="13.5" thickBot="1" x14ac:dyDescent="0.25">
      <c r="A24" s="347"/>
      <c r="B24" s="381">
        <v>9</v>
      </c>
      <c r="C24" s="609">
        <v>183700</v>
      </c>
      <c r="D24" s="609">
        <v>202100</v>
      </c>
      <c r="E24" s="608">
        <f t="shared" si="0"/>
        <v>18400</v>
      </c>
      <c r="F24" s="616">
        <v>220500</v>
      </c>
      <c r="G24" s="608">
        <f t="shared" si="1"/>
        <v>36800</v>
      </c>
      <c r="H24" s="616">
        <v>238900</v>
      </c>
      <c r="I24" s="608">
        <f t="shared" si="2"/>
        <v>55200</v>
      </c>
      <c r="J24" s="616">
        <v>257200</v>
      </c>
      <c r="K24" s="608">
        <f t="shared" si="3"/>
        <v>55200</v>
      </c>
      <c r="L24" s="402">
        <f>J24-H24</f>
        <v>18300</v>
      </c>
      <c r="M24" s="609">
        <v>275600</v>
      </c>
      <c r="N24" s="608">
        <f t="shared" si="5"/>
        <v>55200</v>
      </c>
      <c r="O24" s="402">
        <f t="shared" si="6"/>
        <v>36700</v>
      </c>
      <c r="P24" s="609">
        <v>303200</v>
      </c>
      <c r="Q24" s="608">
        <f t="shared" si="7"/>
        <v>55200</v>
      </c>
      <c r="R24" s="402">
        <f t="shared" si="8"/>
        <v>64300</v>
      </c>
      <c r="S24" s="609">
        <v>330700</v>
      </c>
      <c r="T24" s="608">
        <f t="shared" si="9"/>
        <v>55200</v>
      </c>
      <c r="U24" s="403">
        <f t="shared" si="10"/>
        <v>91800</v>
      </c>
      <c r="V24" s="609">
        <v>367400</v>
      </c>
      <c r="W24" s="608">
        <f t="shared" si="11"/>
        <v>55200</v>
      </c>
      <c r="X24" s="402">
        <f t="shared" si="12"/>
        <v>128500</v>
      </c>
      <c r="Y24" s="609">
        <v>413400</v>
      </c>
      <c r="Z24" s="608">
        <f t="shared" si="13"/>
        <v>55200</v>
      </c>
      <c r="AA24" s="402">
        <f t="shared" si="14"/>
        <v>174500</v>
      </c>
    </row>
    <row r="25" spans="1:27" s="312" customFormat="1" ht="13.5" thickBot="1" x14ac:dyDescent="0.25">
      <c r="A25" s="454" t="s">
        <v>177</v>
      </c>
      <c r="B25" s="455" t="s">
        <v>178</v>
      </c>
      <c r="C25" s="453">
        <v>192900</v>
      </c>
      <c r="D25" s="453">
        <v>212200</v>
      </c>
      <c r="E25" s="453">
        <f t="shared" si="0"/>
        <v>19300</v>
      </c>
      <c r="F25" s="453">
        <v>231500</v>
      </c>
      <c r="G25" s="453">
        <f t="shared" si="1"/>
        <v>38600</v>
      </c>
      <c r="H25" s="453">
        <v>250800</v>
      </c>
      <c r="I25" s="453">
        <f t="shared" si="2"/>
        <v>57900</v>
      </c>
      <c r="J25" s="453">
        <v>270100</v>
      </c>
      <c r="K25" s="453">
        <f t="shared" si="3"/>
        <v>57900</v>
      </c>
      <c r="L25" s="453">
        <f t="shared" si="4"/>
        <v>19300</v>
      </c>
      <c r="M25" s="453">
        <v>289400</v>
      </c>
      <c r="N25" s="453">
        <f t="shared" si="5"/>
        <v>57900</v>
      </c>
      <c r="O25" s="453">
        <f t="shared" si="6"/>
        <v>38600</v>
      </c>
      <c r="P25" s="453">
        <v>318400</v>
      </c>
      <c r="Q25" s="453">
        <f t="shared" si="7"/>
        <v>57900</v>
      </c>
      <c r="R25" s="453">
        <f t="shared" si="8"/>
        <v>67600</v>
      </c>
      <c r="S25" s="453">
        <v>347200</v>
      </c>
      <c r="T25" s="453">
        <f t="shared" si="9"/>
        <v>57900</v>
      </c>
      <c r="U25" s="403">
        <f t="shared" si="10"/>
        <v>96400</v>
      </c>
      <c r="V25" s="453">
        <v>385800</v>
      </c>
      <c r="W25" s="453">
        <f t="shared" si="11"/>
        <v>57900</v>
      </c>
      <c r="X25" s="402">
        <f t="shared" si="12"/>
        <v>135000</v>
      </c>
      <c r="Y25" s="453">
        <v>434100</v>
      </c>
      <c r="Z25" s="453">
        <f t="shared" si="13"/>
        <v>57900</v>
      </c>
      <c r="AA25" s="402">
        <f t="shared" si="14"/>
        <v>183300</v>
      </c>
    </row>
    <row r="26" spans="1:27" ht="13.5" thickBot="1" x14ac:dyDescent="0.25"/>
    <row r="27" spans="1:27" ht="13.5" thickBot="1" x14ac:dyDescent="0.25">
      <c r="D27" s="42" t="s">
        <v>26</v>
      </c>
      <c r="E27" s="43"/>
      <c r="F27" s="43"/>
      <c r="G27" s="43"/>
      <c r="H27" s="43"/>
      <c r="I27" s="43"/>
      <c r="J27" s="43"/>
      <c r="K27" s="368"/>
      <c r="L27" s="44"/>
      <c r="M27" s="43" t="s">
        <v>27</v>
      </c>
      <c r="N27" s="43"/>
      <c r="O27" s="43"/>
      <c r="P27" s="367"/>
      <c r="Q27" s="43"/>
      <c r="R27" s="43"/>
      <c r="S27" s="44"/>
    </row>
    <row r="28" spans="1:27" x14ac:dyDescent="0.2">
      <c r="A28" s="19"/>
      <c r="B28" s="19"/>
      <c r="C28" s="24" t="s">
        <v>18</v>
      </c>
      <c r="D28" s="25" t="s">
        <v>19</v>
      </c>
      <c r="E28" s="29" t="s">
        <v>19</v>
      </c>
      <c r="F28" s="29" t="s">
        <v>19</v>
      </c>
      <c r="G28" s="29" t="s">
        <v>19</v>
      </c>
      <c r="H28" s="29" t="s">
        <v>19</v>
      </c>
      <c r="I28" s="29" t="s">
        <v>19</v>
      </c>
      <c r="J28" s="30" t="s">
        <v>19</v>
      </c>
      <c r="K28" s="29" t="s">
        <v>19</v>
      </c>
      <c r="L28" s="26" t="s">
        <v>19</v>
      </c>
      <c r="M28" s="30" t="s">
        <v>19</v>
      </c>
      <c r="N28" s="30" t="s">
        <v>19</v>
      </c>
      <c r="O28" s="30" t="s">
        <v>19</v>
      </c>
      <c r="P28" s="29" t="s">
        <v>19</v>
      </c>
      <c r="Q28" s="29" t="s">
        <v>19</v>
      </c>
      <c r="R28" s="26" t="s">
        <v>19</v>
      </c>
      <c r="S28" s="28"/>
    </row>
    <row r="29" spans="1:27" ht="13.5" thickBot="1" x14ac:dyDescent="0.25">
      <c r="A29" s="33" t="s">
        <v>20</v>
      </c>
      <c r="B29" s="20" t="s">
        <v>21</v>
      </c>
      <c r="C29" s="173" t="s">
        <v>19</v>
      </c>
      <c r="D29" s="371">
        <v>1</v>
      </c>
      <c r="E29" s="182">
        <v>2</v>
      </c>
      <c r="F29" s="182">
        <v>3</v>
      </c>
      <c r="G29" s="182">
        <v>4</v>
      </c>
      <c r="H29" s="182">
        <v>5</v>
      </c>
      <c r="I29" s="182">
        <v>6</v>
      </c>
      <c r="J29" s="182">
        <v>7</v>
      </c>
      <c r="K29" s="180">
        <v>8</v>
      </c>
      <c r="L29" s="178">
        <v>9</v>
      </c>
      <c r="M29" s="267">
        <v>4</v>
      </c>
      <c r="N29" s="266">
        <v>5</v>
      </c>
      <c r="O29" s="266">
        <v>6</v>
      </c>
      <c r="P29" s="267">
        <v>7</v>
      </c>
      <c r="Q29" s="267">
        <v>8</v>
      </c>
      <c r="R29" s="188">
        <v>9</v>
      </c>
      <c r="S29" s="32"/>
    </row>
    <row r="30" spans="1:27" ht="13.5" thickBot="1" x14ac:dyDescent="0.25">
      <c r="A30" s="41" t="s">
        <v>22</v>
      </c>
      <c r="B30" s="269" t="s">
        <v>84</v>
      </c>
      <c r="C30" s="174">
        <f>C4</f>
        <v>59400</v>
      </c>
      <c r="D30" s="181">
        <f>E4</f>
        <v>6000</v>
      </c>
      <c r="E30" s="181">
        <f>G4</f>
        <v>11900</v>
      </c>
      <c r="F30" s="181">
        <f>I4</f>
        <v>17900</v>
      </c>
      <c r="G30" s="181">
        <f>K4</f>
        <v>17900</v>
      </c>
      <c r="H30" s="181">
        <f>N4</f>
        <v>17900</v>
      </c>
      <c r="I30" s="181">
        <f>Q4</f>
        <v>17900</v>
      </c>
      <c r="J30" s="343">
        <f>T4</f>
        <v>17900</v>
      </c>
      <c r="K30" s="181">
        <f>W4</f>
        <v>17900</v>
      </c>
      <c r="L30" s="179">
        <f>Z4</f>
        <v>17900</v>
      </c>
      <c r="M30" s="369">
        <f>L4</f>
        <v>5900</v>
      </c>
      <c r="N30" s="369">
        <f>O4</f>
        <v>11800</v>
      </c>
      <c r="O30" s="370">
        <f>R4</f>
        <v>20800</v>
      </c>
      <c r="P30" s="268">
        <f>U4</f>
        <v>29700</v>
      </c>
      <c r="Q30" s="370">
        <f>X4</f>
        <v>41500</v>
      </c>
      <c r="R30" s="187">
        <f>AA4</f>
        <v>56400</v>
      </c>
      <c r="S30" s="372"/>
    </row>
    <row r="31" spans="1:27" x14ac:dyDescent="0.2">
      <c r="A31" t="s">
        <v>29</v>
      </c>
      <c r="B31">
        <f>OnScaleCalc!H33</f>
        <v>0</v>
      </c>
      <c r="D31">
        <f>IF(Instr_curr_Scale=1,IF(Instr_curr_Step&lt;&gt;0,LOOKUP(Instr_curr_Step,InstrSteps,HST_I1),0),0)</f>
        <v>0</v>
      </c>
      <c r="E31">
        <f>IF(Instr_curr_Scale=2,IF(Instr_curr_Step&lt;&gt;0,LOOKUP(Instr_curr_Step,InstrSteps,HST_I2),0),0)</f>
        <v>0</v>
      </c>
      <c r="F31">
        <f>IF(Instr_curr_Scale=3,IF(Instr_curr_Step&lt;&gt;0,LOOKUP(Instr_curr_Step,InstrSteps,HST_I3),0),0)</f>
        <v>0</v>
      </c>
      <c r="G31">
        <f>IF(Instr_curr_Scale=4,IF(Instr_curr_Step&lt;&gt;0,LOOKUP(Instr_curr_Step,InstrSteps,HST_I4),0),0)</f>
        <v>0</v>
      </c>
      <c r="H31">
        <f>IF(Instr_curr_Scale=5,IF(Instr_curr_Step&lt;&gt;0,LOOKUP(Instr_curr_Step,InstrSteps,HST_I5),0),0)</f>
        <v>0</v>
      </c>
      <c r="I31">
        <f>IF(Instr_curr_Scale=6,IF(Instr_curr_Step&lt;&gt;0,LOOKUP(Instr_curr_Step,InstrSteps,HST_I6),0),0)</f>
        <v>0</v>
      </c>
      <c r="J31">
        <f>IF(Instr_curr_Scale=7,IF(Instr_curr_Step&lt;&gt;0,LOOKUP(Instr_curr_Step,InstrSteps,HST_I7),0),0)</f>
        <v>0</v>
      </c>
      <c r="K31">
        <f>IF(Instr_curr_Scale=8,IF(Instr_curr_Step&lt;&gt;0,LOOKUP(Instr_curr_Step,InstrSteps,K30),0),0)</f>
        <v>0</v>
      </c>
      <c r="L31">
        <f>IF(Instr_curr_Scale=9,IF(Instr_curr_Step&lt;&gt;0,LOOKUP(Instr_curr_Step,InstrSteps,L30),0),0)</f>
        <v>0</v>
      </c>
      <c r="M31">
        <f>IF(Instr_curr_Scale=4,IF(Instr_curr_Step&lt;&gt;0,LOOKUP(Instr_curr_Step,InstrSteps,M30),0),0)</f>
        <v>0</v>
      </c>
      <c r="N31">
        <f>IF(Instr_curr_Scale=5,IF(Instr_curr_Step&lt;&gt;0,LOOKUP(Instr_curr_Step,InstrSteps,N30),0),0)</f>
        <v>0</v>
      </c>
      <c r="O31">
        <f>IF(Instr_curr_Scale=6,IF(Instr_curr_Step&lt;&gt;0,LOOKUP(Instr_curr_Step,InstrSteps,O30),0),0)</f>
        <v>0</v>
      </c>
      <c r="P31">
        <f>IF(Instr_curr_Scale=7,IF(Instr_curr_Step&lt;&gt;0,LOOKUP(Instr_curr_Step,InstrSteps,P30),0),0)</f>
        <v>0</v>
      </c>
      <c r="Q31">
        <f>IF(Instr_curr_Scale=8,IF(Instr_curr_Step&lt;&gt;0,LOOKUP(Instr_curr_Step,InstrSteps,Q30),0),0)</f>
        <v>0</v>
      </c>
      <c r="R31">
        <f>IF(Instr_curr_Scale=9,IF(Instr_curr_Step&lt;&gt;0,LOOKUP(Instr_curr_Step,InstrSteps,R30),0),0)</f>
        <v>0</v>
      </c>
    </row>
    <row r="32" spans="1:27" x14ac:dyDescent="0.2">
      <c r="A32" t="s">
        <v>82</v>
      </c>
      <c r="B32">
        <f>IF(AND(Associate="",Prof="",Assistant=""),Scale,0)</f>
        <v>0</v>
      </c>
    </row>
    <row r="33" spans="1:19" ht="13.5" thickBot="1" x14ac:dyDescent="0.25">
      <c r="A33" s="45" t="s">
        <v>28</v>
      </c>
      <c r="C33" s="196" t="s">
        <v>2</v>
      </c>
      <c r="D33" s="197">
        <v>1</v>
      </c>
      <c r="E33" s="197">
        <v>2</v>
      </c>
      <c r="F33" s="197">
        <v>3</v>
      </c>
      <c r="G33" s="197">
        <v>4</v>
      </c>
      <c r="H33" s="197">
        <v>5</v>
      </c>
      <c r="I33" s="197">
        <v>6</v>
      </c>
      <c r="J33" s="197">
        <v>7</v>
      </c>
      <c r="K33" s="197">
        <v>8</v>
      </c>
      <c r="L33" s="178">
        <v>9</v>
      </c>
      <c r="M33" s="192">
        <v>4</v>
      </c>
      <c r="N33" s="192">
        <v>5</v>
      </c>
      <c r="O33" s="192">
        <v>6</v>
      </c>
      <c r="P33" s="192">
        <v>7</v>
      </c>
      <c r="Q33" s="192">
        <v>8</v>
      </c>
      <c r="R33" s="186">
        <v>9</v>
      </c>
    </row>
    <row r="34" spans="1:19" x14ac:dyDescent="0.2">
      <c r="A34" s="14" t="s">
        <v>23</v>
      </c>
      <c r="B34" s="21">
        <v>1</v>
      </c>
      <c r="C34" s="175">
        <f t="shared" ref="C34:C39" si="15">C5</f>
        <v>68900</v>
      </c>
      <c r="D34" s="183">
        <f t="shared" ref="D34:D39" si="16">E5</f>
        <v>6900</v>
      </c>
      <c r="E34" s="183">
        <f t="shared" ref="E34:E39" si="17">G5</f>
        <v>13800</v>
      </c>
      <c r="F34" s="183">
        <f t="shared" ref="F34:F39" si="18">I5</f>
        <v>20700</v>
      </c>
      <c r="G34" s="183">
        <f t="shared" ref="G34:G39" si="19">K5</f>
        <v>20700</v>
      </c>
      <c r="H34" s="183">
        <f t="shared" ref="H34:H39" si="20">N5</f>
        <v>20700</v>
      </c>
      <c r="I34" s="183">
        <f t="shared" ref="I34:I39" si="21">Q5</f>
        <v>20700</v>
      </c>
      <c r="J34" s="373">
        <f t="shared" ref="J34:J39" si="22">T5</f>
        <v>20700</v>
      </c>
      <c r="K34" s="183">
        <f t="shared" ref="K34:K39" si="23">W5</f>
        <v>20700</v>
      </c>
      <c r="L34" s="198">
        <f t="shared" ref="L34:L39" si="24">Z5</f>
        <v>20700</v>
      </c>
      <c r="M34" s="376">
        <f t="shared" ref="M34:M39" si="25">L5</f>
        <v>6900</v>
      </c>
      <c r="N34" s="193">
        <f t="shared" ref="N34:N39" si="26">O5</f>
        <v>13800</v>
      </c>
      <c r="O34" s="193">
        <f t="shared" ref="O34:O39" si="27">R5</f>
        <v>24100</v>
      </c>
      <c r="P34" s="193">
        <f t="shared" ref="P34:P39" si="28">U5</f>
        <v>34500</v>
      </c>
      <c r="Q34" s="193">
        <f t="shared" ref="Q34:Q39" si="29">X5</f>
        <v>48200</v>
      </c>
      <c r="R34" s="189">
        <f t="shared" ref="R34:R39" si="30">AA5</f>
        <v>65500</v>
      </c>
      <c r="S34" s="379"/>
    </row>
    <row r="35" spans="1:19" x14ac:dyDescent="0.2">
      <c r="A35" s="16"/>
      <c r="B35" s="22">
        <v>2</v>
      </c>
      <c r="C35" s="176">
        <f t="shared" si="15"/>
        <v>73000</v>
      </c>
      <c r="D35" s="184">
        <f t="shared" si="16"/>
        <v>7300</v>
      </c>
      <c r="E35" s="184">
        <f t="shared" si="17"/>
        <v>14600</v>
      </c>
      <c r="F35" s="184">
        <f t="shared" si="18"/>
        <v>21900</v>
      </c>
      <c r="G35" s="184">
        <f t="shared" si="19"/>
        <v>21900</v>
      </c>
      <c r="H35" s="184">
        <f t="shared" si="20"/>
        <v>21900</v>
      </c>
      <c r="I35" s="184">
        <f t="shared" si="21"/>
        <v>21900</v>
      </c>
      <c r="J35" s="374">
        <f t="shared" si="22"/>
        <v>21900</v>
      </c>
      <c r="K35" s="184">
        <f t="shared" si="23"/>
        <v>21900</v>
      </c>
      <c r="L35" s="200">
        <f t="shared" si="24"/>
        <v>21900</v>
      </c>
      <c r="M35" s="377">
        <f t="shared" si="25"/>
        <v>7300</v>
      </c>
      <c r="N35" s="194">
        <f t="shared" si="26"/>
        <v>14600</v>
      </c>
      <c r="O35" s="194">
        <f t="shared" si="27"/>
        <v>25600</v>
      </c>
      <c r="P35" s="194">
        <f t="shared" si="28"/>
        <v>36500</v>
      </c>
      <c r="Q35" s="194">
        <f t="shared" si="29"/>
        <v>51100</v>
      </c>
      <c r="R35" s="190">
        <f t="shared" si="30"/>
        <v>69400</v>
      </c>
      <c r="S35" s="380"/>
    </row>
    <row r="36" spans="1:19" x14ac:dyDescent="0.2">
      <c r="A36" s="16"/>
      <c r="B36" s="22">
        <v>3</v>
      </c>
      <c r="C36" s="176">
        <f t="shared" si="15"/>
        <v>77000</v>
      </c>
      <c r="D36" s="184">
        <f t="shared" si="16"/>
        <v>7700</v>
      </c>
      <c r="E36" s="184">
        <f t="shared" si="17"/>
        <v>15400</v>
      </c>
      <c r="F36" s="184">
        <f t="shared" si="18"/>
        <v>23100</v>
      </c>
      <c r="G36" s="184">
        <f t="shared" si="19"/>
        <v>23100</v>
      </c>
      <c r="H36" s="184">
        <f t="shared" si="20"/>
        <v>23100</v>
      </c>
      <c r="I36" s="184">
        <f t="shared" si="21"/>
        <v>23100</v>
      </c>
      <c r="J36" s="374">
        <f t="shared" si="22"/>
        <v>23100</v>
      </c>
      <c r="K36" s="184">
        <f t="shared" si="23"/>
        <v>23100</v>
      </c>
      <c r="L36" s="200">
        <f t="shared" si="24"/>
        <v>23100</v>
      </c>
      <c r="M36" s="377">
        <f t="shared" si="25"/>
        <v>7700</v>
      </c>
      <c r="N36" s="194">
        <f t="shared" si="26"/>
        <v>15400</v>
      </c>
      <c r="O36" s="194">
        <f t="shared" si="27"/>
        <v>27000</v>
      </c>
      <c r="P36" s="194">
        <f t="shared" si="28"/>
        <v>38500</v>
      </c>
      <c r="Q36" s="194">
        <f t="shared" si="29"/>
        <v>53900</v>
      </c>
      <c r="R36" s="190">
        <f t="shared" si="30"/>
        <v>73200</v>
      </c>
      <c r="S36" s="380"/>
    </row>
    <row r="37" spans="1:19" x14ac:dyDescent="0.2">
      <c r="A37" s="16"/>
      <c r="B37" s="22">
        <v>4</v>
      </c>
      <c r="C37" s="176">
        <f t="shared" si="15"/>
        <v>81500</v>
      </c>
      <c r="D37" s="184">
        <f t="shared" si="16"/>
        <v>8200</v>
      </c>
      <c r="E37" s="184">
        <f t="shared" si="17"/>
        <v>16300</v>
      </c>
      <c r="F37" s="184">
        <f t="shared" si="18"/>
        <v>24500</v>
      </c>
      <c r="G37" s="184">
        <f t="shared" si="19"/>
        <v>24500</v>
      </c>
      <c r="H37" s="184">
        <f t="shared" si="20"/>
        <v>24500</v>
      </c>
      <c r="I37" s="184">
        <f t="shared" si="21"/>
        <v>24500</v>
      </c>
      <c r="J37" s="374">
        <f t="shared" si="22"/>
        <v>24500</v>
      </c>
      <c r="K37" s="184">
        <f t="shared" si="23"/>
        <v>24500</v>
      </c>
      <c r="L37" s="200">
        <f t="shared" si="24"/>
        <v>24500</v>
      </c>
      <c r="M37" s="377">
        <f t="shared" si="25"/>
        <v>8100</v>
      </c>
      <c r="N37" s="194">
        <f t="shared" si="26"/>
        <v>16300</v>
      </c>
      <c r="O37" s="194">
        <f t="shared" si="27"/>
        <v>28500</v>
      </c>
      <c r="P37" s="194">
        <f t="shared" si="28"/>
        <v>40700</v>
      </c>
      <c r="Q37" s="194">
        <f t="shared" si="29"/>
        <v>57000</v>
      </c>
      <c r="R37" s="190">
        <f t="shared" si="30"/>
        <v>77400</v>
      </c>
      <c r="S37" s="380"/>
    </row>
    <row r="38" spans="1:19" x14ac:dyDescent="0.2">
      <c r="A38" s="16"/>
      <c r="B38" s="22">
        <v>5</v>
      </c>
      <c r="C38" s="176">
        <f t="shared" si="15"/>
        <v>85400</v>
      </c>
      <c r="D38" s="184">
        <f t="shared" si="16"/>
        <v>8600</v>
      </c>
      <c r="E38" s="184">
        <f t="shared" si="17"/>
        <v>17100</v>
      </c>
      <c r="F38" s="184">
        <f t="shared" si="18"/>
        <v>25700</v>
      </c>
      <c r="G38" s="184">
        <f t="shared" si="19"/>
        <v>25700</v>
      </c>
      <c r="H38" s="184">
        <f t="shared" si="20"/>
        <v>25700</v>
      </c>
      <c r="I38" s="184">
        <f t="shared" si="21"/>
        <v>25700</v>
      </c>
      <c r="J38" s="374">
        <f t="shared" si="22"/>
        <v>25700</v>
      </c>
      <c r="K38" s="184">
        <f t="shared" si="23"/>
        <v>25700</v>
      </c>
      <c r="L38" s="200">
        <f t="shared" si="24"/>
        <v>25700</v>
      </c>
      <c r="M38" s="377">
        <f t="shared" si="25"/>
        <v>8500</v>
      </c>
      <c r="N38" s="194">
        <f t="shared" si="26"/>
        <v>17000</v>
      </c>
      <c r="O38" s="194">
        <f t="shared" si="27"/>
        <v>29900</v>
      </c>
      <c r="P38" s="194">
        <f t="shared" si="28"/>
        <v>42700</v>
      </c>
      <c r="Q38" s="194">
        <f t="shared" si="29"/>
        <v>59700</v>
      </c>
      <c r="R38" s="190">
        <f t="shared" si="30"/>
        <v>81100</v>
      </c>
      <c r="S38" s="380"/>
    </row>
    <row r="39" spans="1:19" ht="13.5" thickBot="1" x14ac:dyDescent="0.25">
      <c r="A39" s="18"/>
      <c r="B39" s="23">
        <v>6</v>
      </c>
      <c r="C39" s="177">
        <f t="shared" si="15"/>
        <v>89600</v>
      </c>
      <c r="D39" s="185">
        <f t="shared" si="16"/>
        <v>9000</v>
      </c>
      <c r="E39" s="185">
        <f t="shared" si="17"/>
        <v>18000</v>
      </c>
      <c r="F39" s="185">
        <f t="shared" si="18"/>
        <v>26900</v>
      </c>
      <c r="G39" s="185">
        <f t="shared" si="19"/>
        <v>26900</v>
      </c>
      <c r="H39" s="185">
        <f t="shared" si="20"/>
        <v>26900</v>
      </c>
      <c r="I39" s="185">
        <f t="shared" si="21"/>
        <v>26900</v>
      </c>
      <c r="J39" s="375">
        <f t="shared" si="22"/>
        <v>26900</v>
      </c>
      <c r="K39" s="185">
        <f t="shared" si="23"/>
        <v>26900</v>
      </c>
      <c r="L39" s="202">
        <f t="shared" si="24"/>
        <v>26900</v>
      </c>
      <c r="M39" s="378">
        <f t="shared" si="25"/>
        <v>9000</v>
      </c>
      <c r="N39" s="195">
        <f t="shared" si="26"/>
        <v>17900</v>
      </c>
      <c r="O39" s="195">
        <f t="shared" si="27"/>
        <v>31400</v>
      </c>
      <c r="P39" s="195">
        <f t="shared" si="28"/>
        <v>44800</v>
      </c>
      <c r="Q39" s="195">
        <f t="shared" si="29"/>
        <v>62700</v>
      </c>
      <c r="R39" s="191">
        <f t="shared" si="30"/>
        <v>85100</v>
      </c>
      <c r="S39" s="381"/>
    </row>
    <row r="40" spans="1:19" x14ac:dyDescent="0.2">
      <c r="D40">
        <f>IF(Asst_curr_scale=1,IF(Asst_curr_step&lt;&gt;0,LOOKUP(Asst_curr_step,AsstSteps,_HST1),0),0)</f>
        <v>0</v>
      </c>
      <c r="E40">
        <f>IF(Asst_curr_scale=2,IF(Asst_curr_step&lt;&gt;0,LOOKUP(Asst_curr_step,AsstSteps,_HST2),0),0)</f>
        <v>0</v>
      </c>
      <c r="F40">
        <f>IF(Asst_curr_scale=3,IF(Asst_curr_step&lt;&gt;0,LOOKUP(Asst_curr_step,AsstSteps,_HST3),0),0)</f>
        <v>0</v>
      </c>
      <c r="G40">
        <f>IF(Asst_curr_scale=4,IF(Asst_curr_step&lt;&gt;0,LOOKUP(Asst_curr_step,AsstSteps,_HST4),0),0)</f>
        <v>0</v>
      </c>
      <c r="H40">
        <f>IF(Asst_curr_scale=5,IF(Asst_curr_step&lt;&gt;0,LOOKUP(Asst_curr_step,AsstSteps,_HST5),0),0)</f>
        <v>0</v>
      </c>
      <c r="I40">
        <f>IF(Asst_curr_scale=6,IF(Asst_curr_step&lt;&gt;0,LOOKUP(Asst_curr_step,AsstSteps,_HST6),0),0)</f>
        <v>0</v>
      </c>
      <c r="J40">
        <f>IF(Asst_curr_scale=7,IF(Asst_curr_step&lt;&gt;0,LOOKUP(Asst_curr_step,AsstSteps,_HST7),0),0)</f>
        <v>0</v>
      </c>
      <c r="K40">
        <f>IF(Asst_curr_scale=8,IF(Asst_curr_step&lt;&gt;0,LOOKUP(Asst_curr_step,AsstSteps,K34:K39),0),0)</f>
        <v>0</v>
      </c>
      <c r="L40">
        <f>IF(Asst_curr_scale=9,IF(Asst_curr_step&lt;&gt;0,LOOKUP(Asst_curr_step,AsstSteps,L34:L39),0),0)</f>
        <v>0</v>
      </c>
      <c r="M40">
        <f>IF(Asst_curr_scale=4,IF(Asst_curr_step&lt;&gt;0,LOOKUP(Asst_curr_step,AsstSteps,M34:M39),0),0)</f>
        <v>0</v>
      </c>
      <c r="N40">
        <f>IF(Asst_curr_scale=5,IF(Asst_curr_step&lt;&gt;0,LOOKUP(Asst_curr_step,AsstSteps,N34:N39),0),0)</f>
        <v>0</v>
      </c>
      <c r="O40">
        <f>IF(Asst_curr_scale=6,IF(Asst_curr_step&lt;&gt;0,LOOKUP(Asst_curr_step,AsstSteps,O34:O39),0),0)</f>
        <v>0</v>
      </c>
      <c r="P40">
        <f>IF(Asst_curr_scale=7,IF(Asst_curr_step&lt;&gt;0,LOOKUP(Asst_curr_step,AsstSteps,P34:P39),0),0)</f>
        <v>0</v>
      </c>
      <c r="Q40">
        <f>IF(Asst_curr_scale=8,IF(Asst_curr_step&lt;&gt;0,LOOKUP(Asst_curr_step,AsstSteps,Q34:Q39),0),0)</f>
        <v>0</v>
      </c>
      <c r="R40">
        <f>IF(Asst_curr_scale=9,IF(Asst_curr_step&lt;&gt;0,LOOKUP(Asst_curr_step,AsstSteps,R34:R39),0),0)</f>
        <v>0</v>
      </c>
    </row>
    <row r="41" spans="1:19" x14ac:dyDescent="0.2">
      <c r="A41" t="s">
        <v>29</v>
      </c>
      <c r="B41">
        <f>OnScaleCalc!H34</f>
        <v>0</v>
      </c>
    </row>
    <row r="42" spans="1:19" x14ac:dyDescent="0.2">
      <c r="A42" t="s">
        <v>1</v>
      </c>
      <c r="B42">
        <f>IF(AND(Associate="",Prof="",Instructor=""),Scale,0)</f>
        <v>0</v>
      </c>
    </row>
    <row r="45" spans="1:19" ht="13.5" thickBot="1" x14ac:dyDescent="0.25">
      <c r="A45" s="45" t="s">
        <v>28</v>
      </c>
      <c r="C45" s="196" t="s">
        <v>2</v>
      </c>
      <c r="D45" s="197">
        <v>1</v>
      </c>
      <c r="E45" s="197">
        <v>2</v>
      </c>
      <c r="F45" s="197">
        <v>3</v>
      </c>
      <c r="G45" s="197">
        <v>4</v>
      </c>
      <c r="H45" s="197">
        <v>5</v>
      </c>
      <c r="I45" s="197">
        <v>6</v>
      </c>
      <c r="J45" s="197">
        <v>7</v>
      </c>
      <c r="K45" s="197">
        <v>8</v>
      </c>
      <c r="L45" s="178">
        <v>9</v>
      </c>
      <c r="M45" s="192">
        <v>4</v>
      </c>
      <c r="N45" s="192">
        <v>5</v>
      </c>
      <c r="O45" s="192">
        <v>6</v>
      </c>
      <c r="P45" s="192">
        <v>7</v>
      </c>
      <c r="Q45" s="192">
        <v>8</v>
      </c>
      <c r="R45" s="192">
        <v>9</v>
      </c>
    </row>
    <row r="46" spans="1:19" x14ac:dyDescent="0.2">
      <c r="A46" s="14" t="s">
        <v>24</v>
      </c>
      <c r="B46" s="21">
        <v>1</v>
      </c>
      <c r="C46" s="175">
        <f>C11</f>
        <v>85500</v>
      </c>
      <c r="D46" s="183">
        <f>E11</f>
        <v>8600</v>
      </c>
      <c r="E46" s="183">
        <f>G11</f>
        <v>17100</v>
      </c>
      <c r="F46" s="183">
        <f>I11</f>
        <v>25700</v>
      </c>
      <c r="G46" s="183">
        <f>K11</f>
        <v>25700</v>
      </c>
      <c r="H46" s="183">
        <f>N11</f>
        <v>25700</v>
      </c>
      <c r="I46" s="199">
        <f>Q11</f>
        <v>25700</v>
      </c>
      <c r="J46" s="183">
        <f>T11</f>
        <v>25700</v>
      </c>
      <c r="K46" s="183">
        <f>W11</f>
        <v>25700</v>
      </c>
      <c r="L46" s="198">
        <f>Z11</f>
        <v>25700</v>
      </c>
      <c r="M46" s="376">
        <f>L11</f>
        <v>8500</v>
      </c>
      <c r="N46" s="193">
        <f>O11</f>
        <v>17100</v>
      </c>
      <c r="O46" s="193">
        <f>R11</f>
        <v>29900</v>
      </c>
      <c r="P46" s="193">
        <f>U11</f>
        <v>42700</v>
      </c>
      <c r="Q46" s="193">
        <f>X11</f>
        <v>59800</v>
      </c>
      <c r="R46" s="189">
        <f>AA11</f>
        <v>81200</v>
      </c>
      <c r="S46" s="379"/>
    </row>
    <row r="47" spans="1:19" x14ac:dyDescent="0.2">
      <c r="A47" s="16"/>
      <c r="B47" s="22">
        <v>2</v>
      </c>
      <c r="C47" s="176">
        <f>C12</f>
        <v>89700</v>
      </c>
      <c r="D47" s="184">
        <f>E12</f>
        <v>9000</v>
      </c>
      <c r="E47" s="184">
        <f>G12</f>
        <v>18000</v>
      </c>
      <c r="F47" s="184">
        <f>I12</f>
        <v>27000</v>
      </c>
      <c r="G47" s="184">
        <f>K12</f>
        <v>27000</v>
      </c>
      <c r="H47" s="184">
        <f>N12</f>
        <v>27000</v>
      </c>
      <c r="I47" s="201">
        <f>Q12</f>
        <v>27000</v>
      </c>
      <c r="J47" s="184">
        <f>T12</f>
        <v>27000</v>
      </c>
      <c r="K47" s="184">
        <f>W12</f>
        <v>27000</v>
      </c>
      <c r="L47" s="200">
        <f>Z12</f>
        <v>27000</v>
      </c>
      <c r="M47" s="377">
        <f>L12</f>
        <v>8900</v>
      </c>
      <c r="N47" s="194">
        <f>O12</f>
        <v>17900</v>
      </c>
      <c r="O47" s="194">
        <f>R12</f>
        <v>31400</v>
      </c>
      <c r="P47" s="194">
        <f>U12</f>
        <v>44800</v>
      </c>
      <c r="Q47" s="194">
        <f>X12</f>
        <v>62700</v>
      </c>
      <c r="R47" s="190">
        <f>AA12</f>
        <v>85200</v>
      </c>
      <c r="S47" s="380"/>
    </row>
    <row r="48" spans="1:19" x14ac:dyDescent="0.2">
      <c r="A48" s="16"/>
      <c r="B48" s="22">
        <v>3</v>
      </c>
      <c r="C48" s="176">
        <f>C13</f>
        <v>94600</v>
      </c>
      <c r="D48" s="184">
        <f>E13</f>
        <v>9500</v>
      </c>
      <c r="E48" s="184">
        <f>G13</f>
        <v>19000</v>
      </c>
      <c r="F48" s="184">
        <f>I13</f>
        <v>28400</v>
      </c>
      <c r="G48" s="184">
        <f>K13</f>
        <v>28400</v>
      </c>
      <c r="H48" s="184">
        <f>N13</f>
        <v>28400</v>
      </c>
      <c r="I48" s="201">
        <f>Q13</f>
        <v>28400</v>
      </c>
      <c r="J48" s="184">
        <f>T13</f>
        <v>28400</v>
      </c>
      <c r="K48" s="184">
        <f>W13</f>
        <v>28400</v>
      </c>
      <c r="L48" s="200">
        <f>Z13</f>
        <v>28400</v>
      </c>
      <c r="M48" s="377">
        <f>L13</f>
        <v>9500</v>
      </c>
      <c r="N48" s="194">
        <f>O13</f>
        <v>18900</v>
      </c>
      <c r="O48" s="194">
        <f>R13</f>
        <v>33100</v>
      </c>
      <c r="P48" s="194">
        <f>U13</f>
        <v>47300</v>
      </c>
      <c r="Q48" s="194">
        <f>X13</f>
        <v>66200</v>
      </c>
      <c r="R48" s="190">
        <f>AA13</f>
        <v>89900</v>
      </c>
      <c r="S48" s="380"/>
    </row>
    <row r="49" spans="1:19" x14ac:dyDescent="0.2">
      <c r="A49" s="16"/>
      <c r="B49" s="22">
        <v>4</v>
      </c>
      <c r="C49" s="176">
        <f>C14</f>
        <v>100500</v>
      </c>
      <c r="D49" s="184">
        <f>E14</f>
        <v>10100</v>
      </c>
      <c r="E49" s="184">
        <f>G14</f>
        <v>20100</v>
      </c>
      <c r="F49" s="184">
        <f>I14</f>
        <v>30200</v>
      </c>
      <c r="G49" s="184">
        <f>K14</f>
        <v>30200</v>
      </c>
      <c r="H49" s="184">
        <f>N14</f>
        <v>30200</v>
      </c>
      <c r="I49" s="201">
        <f>Q14</f>
        <v>30200</v>
      </c>
      <c r="J49" s="184">
        <f>T14</f>
        <v>30200</v>
      </c>
      <c r="K49" s="184">
        <f>W14</f>
        <v>30200</v>
      </c>
      <c r="L49" s="200">
        <f>Z14</f>
        <v>30200</v>
      </c>
      <c r="M49" s="377">
        <f>L14</f>
        <v>10000</v>
      </c>
      <c r="N49" s="194">
        <f>O14</f>
        <v>20100</v>
      </c>
      <c r="O49" s="194">
        <f>R14</f>
        <v>35200</v>
      </c>
      <c r="P49" s="194">
        <f>U14</f>
        <v>50200</v>
      </c>
      <c r="Q49" s="194">
        <f>X14</f>
        <v>70300</v>
      </c>
      <c r="R49" s="190">
        <f>AA14</f>
        <v>95500</v>
      </c>
      <c r="S49" s="380"/>
    </row>
    <row r="50" spans="1:19" ht="13.5" thickBot="1" x14ac:dyDescent="0.25">
      <c r="A50" s="18"/>
      <c r="B50" s="23">
        <v>5</v>
      </c>
      <c r="C50" s="177">
        <f>C15</f>
        <v>108400</v>
      </c>
      <c r="D50" s="185">
        <f>E15</f>
        <v>10900</v>
      </c>
      <c r="E50" s="185">
        <f>G15</f>
        <v>21700</v>
      </c>
      <c r="F50" s="185">
        <f>I15</f>
        <v>32600</v>
      </c>
      <c r="G50" s="185">
        <f>K15</f>
        <v>32600</v>
      </c>
      <c r="H50" s="185">
        <f>N15</f>
        <v>32600</v>
      </c>
      <c r="I50" s="203">
        <f>Q15</f>
        <v>32600</v>
      </c>
      <c r="J50" s="185">
        <f>T15</f>
        <v>32600</v>
      </c>
      <c r="K50" s="185">
        <f>W15</f>
        <v>32600</v>
      </c>
      <c r="L50" s="202">
        <f>Z15</f>
        <v>32600</v>
      </c>
      <c r="M50" s="378">
        <f>L15</f>
        <v>10800</v>
      </c>
      <c r="N50" s="195">
        <f>O15</f>
        <v>21600</v>
      </c>
      <c r="O50" s="195">
        <f>R15</f>
        <v>37900</v>
      </c>
      <c r="P50" s="195">
        <f>U15</f>
        <v>54200</v>
      </c>
      <c r="Q50" s="195">
        <f>X15</f>
        <v>75800</v>
      </c>
      <c r="R50" s="191">
        <f>AA15</f>
        <v>102900</v>
      </c>
      <c r="S50" s="381"/>
    </row>
    <row r="51" spans="1:19" x14ac:dyDescent="0.2">
      <c r="C51" s="196"/>
      <c r="D51" s="196">
        <f>IF(Assoc_curr_scale=1,IF(Assoc_curr_step&lt;&gt;0,LOOKUP(Assoc_curr_step,AssocSteps,HST1_AP),0),0)</f>
        <v>0</v>
      </c>
      <c r="E51" s="196">
        <f>IF(Assoc_curr_scale=2,IF(Assoc_curr_step&lt;&gt;0,LOOKUP(Assoc_curr_step,AssocSteps,HST2_AP),0),0)</f>
        <v>0</v>
      </c>
      <c r="F51" s="196">
        <f>IF(Assoc_curr_scale=3,IF(Assoc_curr_step&lt;&gt;0,LOOKUP(Assoc_curr_step,AssocSteps,HST3_AP),0),0)</f>
        <v>0</v>
      </c>
      <c r="G51" s="196">
        <f>IF(Assoc_curr_scale=4,IF(Assoc_curr_step&lt;&gt;0,LOOKUP(Assoc_curr_step,AssocSteps,HST4_AP),0),0)</f>
        <v>0</v>
      </c>
      <c r="H51" s="196">
        <f>IF(Assoc_curr_scale=5,IF(Assoc_curr_step&lt;&gt;0,LOOKUP(Assoc_curr_step,AssocSteps,HST5_AP),0),0)</f>
        <v>0</v>
      </c>
      <c r="I51" s="196">
        <f>IF(Assoc_curr_scale=6,IF(Assoc_curr_step&lt;&gt;0,LOOKUP(Assoc_curr_step,AssocSteps,HST6_AP),0),0)</f>
        <v>0</v>
      </c>
      <c r="J51" s="196">
        <f>IF(Assoc_curr_scale=7,IF(Assoc_curr_step&lt;&gt;0,LOOKUP(Assoc_curr_step,AssocSteps,HST7_AP),0),0)</f>
        <v>0</v>
      </c>
      <c r="K51" s="196">
        <f>IF(Assoc_curr_scale=8,IF(Assoc_curr_step&lt;&gt;0,LOOKUP(Assoc_curr_step,AssocSteps,K46:K50),0),0)</f>
        <v>0</v>
      </c>
      <c r="L51" s="196">
        <f>IF(Assoc_curr_scale=9,IF(Assoc_curr_step&lt;&gt;0,LOOKUP(Assoc_curr_step,AssocSteps,L46:L50),0),0)</f>
        <v>0</v>
      </c>
      <c r="M51" s="204">
        <f>IF(Assoc_curr_scale=4,IF(Assoc_curr_step&lt;&gt;0,LOOKUP(Assoc_curr_step,AssocSteps,M46:M50),0),0)</f>
        <v>0</v>
      </c>
      <c r="N51" s="204">
        <f>IF(Assoc_curr_scale=5,IF(Assoc_curr_step&lt;&gt;0,LOOKUP(Assoc_curr_step,AssocSteps,N46:N50),0),0)</f>
        <v>0</v>
      </c>
      <c r="O51" s="204">
        <f>IF(Assoc_curr_scale=6,IF(Assoc_curr_step&lt;&gt;0,LOOKUP(Assoc_curr_step,AssocSteps,O46:O50),0),0)</f>
        <v>0</v>
      </c>
      <c r="P51" s="204">
        <f>IF(Assoc_curr_scale=7,IF(Assoc_curr_step&lt;&gt;0,LOOKUP(Assoc_curr_step,AssocSteps,P46:P50),0),0)</f>
        <v>0</v>
      </c>
      <c r="Q51" s="204">
        <f>IF(Assoc_curr_scale=8,IF(Assoc_curr_step&lt;&gt;0,LOOKUP(Assoc_curr_step,AssocSteps,Q46:Q50),0),0)</f>
        <v>0</v>
      </c>
      <c r="R51" s="204">
        <f>IF(Assoc_curr_scale=9,IF(Assoc_curr_step&lt;&gt;0,LOOKUP(Assoc_curr_step,AssocSteps,R46:R50),0),0)</f>
        <v>0</v>
      </c>
    </row>
    <row r="52" spans="1:19" x14ac:dyDescent="0.2">
      <c r="A52" t="s">
        <v>21</v>
      </c>
      <c r="B52">
        <f>OnScaleCalc!H35</f>
        <v>0</v>
      </c>
    </row>
    <row r="53" spans="1:19" x14ac:dyDescent="0.2">
      <c r="A53" t="s">
        <v>19</v>
      </c>
      <c r="B53">
        <f>IF(AND(Assistant="",Prof="",Instructor=""),Scale,0)</f>
        <v>0</v>
      </c>
    </row>
    <row r="56" spans="1:19" ht="13.5" thickBot="1" x14ac:dyDescent="0.25">
      <c r="A56" s="45" t="s">
        <v>28</v>
      </c>
      <c r="C56" s="196" t="s">
        <v>2</v>
      </c>
      <c r="D56" s="197">
        <v>1</v>
      </c>
      <c r="E56" s="197">
        <v>2</v>
      </c>
      <c r="F56" s="197">
        <v>3</v>
      </c>
      <c r="G56" s="197">
        <v>4</v>
      </c>
      <c r="H56" s="197">
        <v>5</v>
      </c>
      <c r="I56" s="197">
        <v>6</v>
      </c>
      <c r="J56" s="197">
        <v>7</v>
      </c>
      <c r="K56" s="197">
        <v>8</v>
      </c>
      <c r="L56" s="178">
        <v>9</v>
      </c>
      <c r="M56" s="192">
        <v>4</v>
      </c>
      <c r="N56" s="192">
        <v>5</v>
      </c>
      <c r="O56" s="192">
        <v>6</v>
      </c>
      <c r="P56" s="192">
        <v>7</v>
      </c>
      <c r="Q56" s="192">
        <v>8</v>
      </c>
      <c r="R56" s="186">
        <v>9</v>
      </c>
    </row>
    <row r="57" spans="1:19" x14ac:dyDescent="0.2">
      <c r="A57" s="14" t="s">
        <v>25</v>
      </c>
      <c r="B57" s="21">
        <v>1</v>
      </c>
      <c r="C57" s="175">
        <f>C16</f>
        <v>100600</v>
      </c>
      <c r="D57" s="183">
        <f>E16</f>
        <v>10100</v>
      </c>
      <c r="E57" s="183">
        <f>G16</f>
        <v>20200</v>
      </c>
      <c r="F57" s="183">
        <f>I16</f>
        <v>30200</v>
      </c>
      <c r="G57" s="183">
        <f>K16</f>
        <v>30200</v>
      </c>
      <c r="H57" s="183">
        <f>N16</f>
        <v>30200</v>
      </c>
      <c r="I57" s="199">
        <f>Q16</f>
        <v>30200</v>
      </c>
      <c r="J57" s="183">
        <f>T16</f>
        <v>30200</v>
      </c>
      <c r="K57" s="183">
        <f>W16</f>
        <v>30200</v>
      </c>
      <c r="L57" s="198">
        <f>Z16</f>
        <v>30200</v>
      </c>
      <c r="M57" s="376">
        <f>L16</f>
        <v>10100</v>
      </c>
      <c r="N57" s="193">
        <f>O16</f>
        <v>20100</v>
      </c>
      <c r="O57" s="193">
        <f>R16</f>
        <v>35200</v>
      </c>
      <c r="P57" s="193">
        <f>U16</f>
        <v>50300</v>
      </c>
      <c r="Q57" s="193">
        <f>X16</f>
        <v>70400</v>
      </c>
      <c r="R57" s="189">
        <f>AA16</f>
        <v>95600</v>
      </c>
      <c r="S57" s="379"/>
    </row>
    <row r="58" spans="1:19" x14ac:dyDescent="0.2">
      <c r="A58" s="16"/>
      <c r="B58" s="22">
        <v>2</v>
      </c>
      <c r="C58" s="176">
        <f t="shared" ref="C58:C65" si="31">C17</f>
        <v>108500</v>
      </c>
      <c r="D58" s="184">
        <f t="shared" ref="D58:D65" si="32">E17</f>
        <v>10900</v>
      </c>
      <c r="E58" s="184">
        <f t="shared" ref="E58:E64" si="33">G17</f>
        <v>21700</v>
      </c>
      <c r="F58" s="184">
        <f t="shared" ref="F58:F64" si="34">I17</f>
        <v>32600</v>
      </c>
      <c r="G58" s="184">
        <f t="shared" ref="G58:G64" si="35">K17</f>
        <v>32600</v>
      </c>
      <c r="H58" s="184">
        <f t="shared" ref="H58:H64" si="36">N17</f>
        <v>32600</v>
      </c>
      <c r="I58" s="201">
        <f t="shared" ref="I58:I64" si="37">Q17</f>
        <v>32600</v>
      </c>
      <c r="J58" s="184">
        <f t="shared" ref="J58:J64" si="38">T17</f>
        <v>32600</v>
      </c>
      <c r="K58" s="184">
        <f t="shared" ref="K58:K65" si="39">W17</f>
        <v>32600</v>
      </c>
      <c r="L58" s="200">
        <f t="shared" ref="L58:L65" si="40">Z17</f>
        <v>32600</v>
      </c>
      <c r="M58" s="377">
        <f t="shared" ref="M58:M65" si="41">L17</f>
        <v>10800</v>
      </c>
      <c r="N58" s="194">
        <f t="shared" ref="N58:N65" si="42">O17</f>
        <v>21700</v>
      </c>
      <c r="O58" s="194">
        <f t="shared" ref="O58:O65" si="43">R17</f>
        <v>38000</v>
      </c>
      <c r="P58" s="194">
        <f t="shared" ref="P58:P65" si="44">U17</f>
        <v>54200</v>
      </c>
      <c r="Q58" s="194">
        <f t="shared" ref="Q58:Q65" si="45">X17</f>
        <v>75900</v>
      </c>
      <c r="R58" s="190">
        <f t="shared" ref="R58:R65" si="46">AA17</f>
        <v>103100</v>
      </c>
      <c r="S58" s="380"/>
    </row>
    <row r="59" spans="1:19" x14ac:dyDescent="0.2">
      <c r="A59" s="16"/>
      <c r="B59" s="22">
        <v>3</v>
      </c>
      <c r="C59" s="176">
        <f t="shared" si="31"/>
        <v>116300</v>
      </c>
      <c r="D59" s="184">
        <f t="shared" si="32"/>
        <v>11700</v>
      </c>
      <c r="E59" s="184">
        <f t="shared" si="33"/>
        <v>23300</v>
      </c>
      <c r="F59" s="184">
        <f t="shared" si="34"/>
        <v>34900</v>
      </c>
      <c r="G59" s="184">
        <f t="shared" si="35"/>
        <v>34900</v>
      </c>
      <c r="H59" s="184">
        <f t="shared" si="36"/>
        <v>34900</v>
      </c>
      <c r="I59" s="201">
        <f t="shared" si="37"/>
        <v>34900</v>
      </c>
      <c r="J59" s="184">
        <f t="shared" si="38"/>
        <v>34900</v>
      </c>
      <c r="K59" s="184">
        <f t="shared" si="39"/>
        <v>34900</v>
      </c>
      <c r="L59" s="200">
        <f t="shared" si="40"/>
        <v>34900</v>
      </c>
      <c r="M59" s="377">
        <f t="shared" si="41"/>
        <v>11700</v>
      </c>
      <c r="N59" s="194">
        <f t="shared" si="42"/>
        <v>23300</v>
      </c>
      <c r="O59" s="194">
        <f t="shared" si="43"/>
        <v>40700</v>
      </c>
      <c r="P59" s="194">
        <f t="shared" si="44"/>
        <v>58200</v>
      </c>
      <c r="Q59" s="194">
        <f t="shared" si="45"/>
        <v>81400</v>
      </c>
      <c r="R59" s="190">
        <f t="shared" si="46"/>
        <v>110500</v>
      </c>
      <c r="S59" s="380"/>
    </row>
    <row r="60" spans="1:19" x14ac:dyDescent="0.2">
      <c r="A60" s="16"/>
      <c r="B60" s="22">
        <v>4</v>
      </c>
      <c r="C60" s="176">
        <f t="shared" si="31"/>
        <v>124700</v>
      </c>
      <c r="D60" s="184">
        <f t="shared" si="32"/>
        <v>12500</v>
      </c>
      <c r="E60" s="184">
        <f t="shared" si="33"/>
        <v>25000</v>
      </c>
      <c r="F60" s="184">
        <f t="shared" si="34"/>
        <v>37500</v>
      </c>
      <c r="G60" s="184">
        <f t="shared" si="35"/>
        <v>37500</v>
      </c>
      <c r="H60" s="184">
        <f t="shared" si="36"/>
        <v>37500</v>
      </c>
      <c r="I60" s="201">
        <f t="shared" si="37"/>
        <v>37500</v>
      </c>
      <c r="J60" s="184">
        <f t="shared" si="38"/>
        <v>37500</v>
      </c>
      <c r="K60" s="184">
        <f t="shared" si="39"/>
        <v>37500</v>
      </c>
      <c r="L60" s="200">
        <f t="shared" si="40"/>
        <v>37500</v>
      </c>
      <c r="M60" s="377">
        <f t="shared" si="41"/>
        <v>12400</v>
      </c>
      <c r="N60" s="194">
        <f t="shared" si="42"/>
        <v>24900</v>
      </c>
      <c r="O60" s="194">
        <f t="shared" si="43"/>
        <v>43600</v>
      </c>
      <c r="P60" s="194">
        <f t="shared" si="44"/>
        <v>62300</v>
      </c>
      <c r="Q60" s="194">
        <f t="shared" si="45"/>
        <v>87200</v>
      </c>
      <c r="R60" s="190">
        <f t="shared" si="46"/>
        <v>118400</v>
      </c>
      <c r="S60" s="380"/>
    </row>
    <row r="61" spans="1:19" x14ac:dyDescent="0.2">
      <c r="A61" s="16"/>
      <c r="B61" s="22">
        <v>5</v>
      </c>
      <c r="C61" s="176">
        <f t="shared" si="31"/>
        <v>133600</v>
      </c>
      <c r="D61" s="184">
        <f t="shared" si="32"/>
        <v>13400</v>
      </c>
      <c r="E61" s="184">
        <f t="shared" si="33"/>
        <v>26800</v>
      </c>
      <c r="F61" s="184">
        <f t="shared" si="34"/>
        <v>40100</v>
      </c>
      <c r="G61" s="184">
        <f t="shared" si="35"/>
        <v>40100</v>
      </c>
      <c r="H61" s="184">
        <f t="shared" si="36"/>
        <v>40100</v>
      </c>
      <c r="I61" s="201">
        <f t="shared" si="37"/>
        <v>40100</v>
      </c>
      <c r="J61" s="184">
        <f t="shared" si="38"/>
        <v>40100</v>
      </c>
      <c r="K61" s="184">
        <f t="shared" si="39"/>
        <v>40100</v>
      </c>
      <c r="L61" s="200">
        <f t="shared" si="40"/>
        <v>40100</v>
      </c>
      <c r="M61" s="377">
        <f t="shared" si="41"/>
        <v>13400</v>
      </c>
      <c r="N61" s="194">
        <f t="shared" si="42"/>
        <v>26700</v>
      </c>
      <c r="O61" s="194">
        <f t="shared" si="43"/>
        <v>46800</v>
      </c>
      <c r="P61" s="194">
        <f t="shared" si="44"/>
        <v>66800</v>
      </c>
      <c r="Q61" s="194">
        <f t="shared" si="45"/>
        <v>93500</v>
      </c>
      <c r="R61" s="190">
        <f t="shared" si="46"/>
        <v>126900</v>
      </c>
      <c r="S61" s="380"/>
    </row>
    <row r="62" spans="1:19" x14ac:dyDescent="0.2">
      <c r="A62" s="16"/>
      <c r="B62" s="22">
        <v>6</v>
      </c>
      <c r="C62" s="176">
        <f t="shared" si="31"/>
        <v>144700</v>
      </c>
      <c r="D62" s="184">
        <f t="shared" si="32"/>
        <v>14500</v>
      </c>
      <c r="E62" s="184">
        <f t="shared" si="33"/>
        <v>29000</v>
      </c>
      <c r="F62" s="184">
        <f t="shared" si="34"/>
        <v>43500</v>
      </c>
      <c r="G62" s="184">
        <f t="shared" si="35"/>
        <v>43500</v>
      </c>
      <c r="H62" s="184">
        <f t="shared" si="36"/>
        <v>43500</v>
      </c>
      <c r="I62" s="201">
        <f t="shared" si="37"/>
        <v>43500</v>
      </c>
      <c r="J62" s="184">
        <f t="shared" si="38"/>
        <v>43500</v>
      </c>
      <c r="K62" s="184">
        <f t="shared" si="39"/>
        <v>43500</v>
      </c>
      <c r="L62" s="200">
        <f t="shared" si="40"/>
        <v>43500</v>
      </c>
      <c r="M62" s="377">
        <f t="shared" si="41"/>
        <v>14400</v>
      </c>
      <c r="N62" s="194">
        <f t="shared" si="42"/>
        <v>28900</v>
      </c>
      <c r="O62" s="194">
        <f t="shared" si="43"/>
        <v>50600</v>
      </c>
      <c r="P62" s="194">
        <f t="shared" si="44"/>
        <v>72300</v>
      </c>
      <c r="Q62" s="194">
        <f t="shared" si="45"/>
        <v>101200</v>
      </c>
      <c r="R62" s="190">
        <f t="shared" si="46"/>
        <v>137400</v>
      </c>
      <c r="S62" s="380"/>
    </row>
    <row r="63" spans="1:19" x14ac:dyDescent="0.2">
      <c r="A63" s="16"/>
      <c r="B63" s="22">
        <v>7</v>
      </c>
      <c r="C63" s="176">
        <f t="shared" si="31"/>
        <v>156600</v>
      </c>
      <c r="D63" s="184">
        <f t="shared" si="32"/>
        <v>15700</v>
      </c>
      <c r="E63" s="184">
        <f t="shared" si="33"/>
        <v>31400</v>
      </c>
      <c r="F63" s="184">
        <f t="shared" si="34"/>
        <v>47000</v>
      </c>
      <c r="G63" s="184">
        <f t="shared" si="35"/>
        <v>47000</v>
      </c>
      <c r="H63" s="184">
        <f t="shared" si="36"/>
        <v>47000</v>
      </c>
      <c r="I63" s="201">
        <f t="shared" si="37"/>
        <v>47000</v>
      </c>
      <c r="J63" s="184">
        <f t="shared" si="38"/>
        <v>47000</v>
      </c>
      <c r="K63" s="184">
        <f t="shared" si="39"/>
        <v>47000</v>
      </c>
      <c r="L63" s="200">
        <f t="shared" si="40"/>
        <v>47000</v>
      </c>
      <c r="M63" s="377">
        <f t="shared" si="41"/>
        <v>15700</v>
      </c>
      <c r="N63" s="194">
        <f t="shared" si="42"/>
        <v>31300</v>
      </c>
      <c r="O63" s="194">
        <f t="shared" si="43"/>
        <v>54800</v>
      </c>
      <c r="P63" s="194">
        <f t="shared" si="44"/>
        <v>78300</v>
      </c>
      <c r="Q63" s="194">
        <f t="shared" si="45"/>
        <v>109600</v>
      </c>
      <c r="R63" s="190">
        <f t="shared" si="46"/>
        <v>148800</v>
      </c>
      <c r="S63" s="380"/>
    </row>
    <row r="64" spans="1:19" ht="13.5" thickBot="1" x14ac:dyDescent="0.25">
      <c r="A64" s="345"/>
      <c r="B64" s="22">
        <v>8</v>
      </c>
      <c r="C64" s="176">
        <f t="shared" si="31"/>
        <v>169600</v>
      </c>
      <c r="D64" s="184">
        <f t="shared" si="32"/>
        <v>17000</v>
      </c>
      <c r="E64" s="184">
        <f t="shared" si="33"/>
        <v>34000</v>
      </c>
      <c r="F64" s="184">
        <f t="shared" si="34"/>
        <v>50900</v>
      </c>
      <c r="G64" s="184">
        <f t="shared" si="35"/>
        <v>50900</v>
      </c>
      <c r="H64" s="184">
        <f t="shared" si="36"/>
        <v>50900</v>
      </c>
      <c r="I64" s="201">
        <f t="shared" si="37"/>
        <v>50900</v>
      </c>
      <c r="J64" s="184">
        <f t="shared" si="38"/>
        <v>50900</v>
      </c>
      <c r="K64" s="184">
        <f t="shared" si="39"/>
        <v>50900</v>
      </c>
      <c r="L64" s="200">
        <f t="shared" si="40"/>
        <v>50900</v>
      </c>
      <c r="M64" s="377">
        <f t="shared" si="41"/>
        <v>17000</v>
      </c>
      <c r="N64" s="194">
        <f t="shared" si="42"/>
        <v>33900</v>
      </c>
      <c r="O64" s="194">
        <f t="shared" si="43"/>
        <v>59400</v>
      </c>
      <c r="P64" s="194">
        <f t="shared" si="44"/>
        <v>84800</v>
      </c>
      <c r="Q64" s="194">
        <f t="shared" si="45"/>
        <v>118700</v>
      </c>
      <c r="R64" s="190">
        <f t="shared" si="46"/>
        <v>161100</v>
      </c>
      <c r="S64" s="381"/>
    </row>
    <row r="65" spans="1:19" ht="13.5" thickBot="1" x14ac:dyDescent="0.25">
      <c r="A65" s="346"/>
      <c r="B65" s="346">
        <v>9</v>
      </c>
      <c r="C65" s="347">
        <f t="shared" si="31"/>
        <v>183700</v>
      </c>
      <c r="D65" s="348">
        <f t="shared" si="32"/>
        <v>18400</v>
      </c>
      <c r="E65" s="348">
        <f>G24</f>
        <v>36800</v>
      </c>
      <c r="F65" s="348">
        <f>I24</f>
        <v>55200</v>
      </c>
      <c r="G65" s="348">
        <f>K24</f>
        <v>55200</v>
      </c>
      <c r="H65" s="348">
        <f>N24</f>
        <v>55200</v>
      </c>
      <c r="I65" s="349">
        <f>Q24</f>
        <v>55200</v>
      </c>
      <c r="J65" s="185">
        <f>T24</f>
        <v>55200</v>
      </c>
      <c r="K65" s="185">
        <f t="shared" si="39"/>
        <v>55200</v>
      </c>
      <c r="L65" s="202">
        <f t="shared" si="40"/>
        <v>55200</v>
      </c>
      <c r="M65" s="378">
        <f t="shared" si="41"/>
        <v>18300</v>
      </c>
      <c r="N65" s="195">
        <f t="shared" si="42"/>
        <v>36700</v>
      </c>
      <c r="O65" s="195">
        <f t="shared" si="43"/>
        <v>64300</v>
      </c>
      <c r="P65" s="195">
        <f t="shared" si="44"/>
        <v>91800</v>
      </c>
      <c r="Q65" s="195">
        <f t="shared" si="45"/>
        <v>128500</v>
      </c>
      <c r="R65" s="191">
        <f t="shared" si="46"/>
        <v>174500</v>
      </c>
      <c r="S65" s="34"/>
    </row>
    <row r="66" spans="1:19" x14ac:dyDescent="0.2">
      <c r="D66">
        <f>IF(Prof_curr_scale=1,IF(Prof_curr_step&lt;&gt;0,LOOKUP(Prof_curr_step,ProfSteps,HST1_P),0),0)</f>
        <v>0</v>
      </c>
      <c r="E66">
        <f>IF(Prof_curr_scale=2,IF(Prof_curr_step&lt;&gt;0,LOOKUP(Prof_curr_step,ProfSteps,HST2_P),0),0)</f>
        <v>0</v>
      </c>
      <c r="F66">
        <f>IF(Prof_curr_scale=3,IF(Prof_curr_step&lt;&gt;0,LOOKUP(Prof_curr_step,ProfSteps,HST3_P),0),0)</f>
        <v>0</v>
      </c>
      <c r="G66">
        <f>IF(Prof_curr_scale=4,IF(Prof_curr_step&lt;&gt;0,LOOKUP(Prof_curr_step,ProfSteps,HST4_P),0),0)</f>
        <v>0</v>
      </c>
      <c r="H66">
        <f>IF(Prof_curr_scale=5,IF(Prof_curr_step&lt;&gt;0,LOOKUP(Prof_curr_step,ProfSteps,HST5_P),0),0)</f>
        <v>0</v>
      </c>
      <c r="I66">
        <f>IF(Prof_curr_scale=6,IF(Prof_curr_step&lt;&gt;0,LOOKUP(Prof_curr_step,ProfSteps,HST6_P),0),0)</f>
        <v>0</v>
      </c>
      <c r="J66">
        <f>IF(Prof_curr_scale=7,IF(Prof_curr_step&lt;&gt;0,LOOKUP(Prof_curr_step,ProfSteps,HST7_P),0),0)</f>
        <v>0</v>
      </c>
      <c r="K66">
        <f>IF(Prof_curr_scale=8,IF(Prof_curr_step&lt;&gt;0,LOOKUP(Prof_curr_step,ProfSteps,K57:K65),0),0)</f>
        <v>0</v>
      </c>
      <c r="L66">
        <f>IF(Prof_curr_scale=9,IF(Prof_curr_step&lt;&gt;0,LOOKUP(Prof_curr_step,ProfSteps,L57:L65),0),0)</f>
        <v>0</v>
      </c>
      <c r="M66">
        <f>IF(Prof_curr_scale=4,IF(Prof_curr_step&lt;&gt;0,LOOKUP(Prof_curr_step,ProfSteps,M57:M65),0),0)</f>
        <v>0</v>
      </c>
      <c r="N66">
        <f>IF(Prof_curr_scale=5,IF(Prof_curr_step&lt;&gt;0,LOOKUP(Prof_curr_step,ProfSteps,N57:N65),0),0)</f>
        <v>0</v>
      </c>
      <c r="O66">
        <f>IF(Prof_curr_scale=6,IF(Prof_curr_step&lt;&gt;0,LOOKUP(Prof_curr_step,ProfSteps,O57:O65),0),0)</f>
        <v>0</v>
      </c>
      <c r="P66">
        <f>IF(Prof_curr_scale=7,IF(Prof_curr_step&lt;&gt;0,LOOKUP(Prof_curr_step,ProfSteps,P57:P65),0),0)</f>
        <v>0</v>
      </c>
      <c r="Q66">
        <f>IF(Prof_curr_scale=8,IF(Prof_curr_step&lt;&gt;0,LOOKUP(Prof_curr_step,ProfSteps,Q57:Q65),0),0)</f>
        <v>0</v>
      </c>
      <c r="R66">
        <f>IF(Prof_curr_scale=9,IF(Prof_curr_step&lt;&gt;0,LOOKUP(Prof_curr_step,ProfSteps,R57:R65),0),0)</f>
        <v>0</v>
      </c>
    </row>
    <row r="67" spans="1:19" x14ac:dyDescent="0.2">
      <c r="A67" t="s">
        <v>21</v>
      </c>
      <c r="B67">
        <f>OnScaleCalc!H36</f>
        <v>0</v>
      </c>
    </row>
    <row r="68" spans="1:19" x14ac:dyDescent="0.2">
      <c r="A68" t="s">
        <v>19</v>
      </c>
      <c r="B68">
        <f>IF(AND(Assistant="",Associate="",Instructor=""),Scale,0)</f>
        <v>0</v>
      </c>
    </row>
    <row r="71" spans="1:19" ht="13.5" thickBot="1" x14ac:dyDescent="0.25">
      <c r="B71" t="s">
        <v>186</v>
      </c>
    </row>
    <row r="72" spans="1:19" ht="13.5" thickBot="1" x14ac:dyDescent="0.25">
      <c r="B72" s="470" t="s">
        <v>180</v>
      </c>
      <c r="C72" s="43"/>
      <c r="D72" s="43"/>
      <c r="E72" s="44"/>
    </row>
    <row r="73" spans="1:19" x14ac:dyDescent="0.2">
      <c r="B73" s="459" t="s">
        <v>19</v>
      </c>
      <c r="C73" s="460" t="s">
        <v>179</v>
      </c>
      <c r="D73" s="460" t="s">
        <v>62</v>
      </c>
      <c r="E73" s="461" t="s">
        <v>63</v>
      </c>
    </row>
    <row r="74" spans="1:19" x14ac:dyDescent="0.2">
      <c r="B74" s="462">
        <v>0</v>
      </c>
      <c r="C74" s="463">
        <f>C25</f>
        <v>192900</v>
      </c>
      <c r="D74" s="464">
        <v>0</v>
      </c>
      <c r="E74" s="465">
        <v>0</v>
      </c>
    </row>
    <row r="75" spans="1:19" x14ac:dyDescent="0.2">
      <c r="B75" s="462">
        <v>1</v>
      </c>
      <c r="C75" s="463">
        <f>D25</f>
        <v>212200</v>
      </c>
      <c r="D75" s="463">
        <f>E25</f>
        <v>19300</v>
      </c>
      <c r="E75" s="465">
        <v>0</v>
      </c>
    </row>
    <row r="76" spans="1:19" x14ac:dyDescent="0.2">
      <c r="B76" s="462">
        <v>2</v>
      </c>
      <c r="C76" s="463">
        <f>F25</f>
        <v>231500</v>
      </c>
      <c r="D76" s="463">
        <f>G25</f>
        <v>38600</v>
      </c>
      <c r="E76" s="465">
        <v>0</v>
      </c>
    </row>
    <row r="77" spans="1:19" x14ac:dyDescent="0.2">
      <c r="B77" s="462">
        <v>3</v>
      </c>
      <c r="C77" s="463">
        <f>H25</f>
        <v>250800</v>
      </c>
      <c r="D77" s="463">
        <f>I25</f>
        <v>57900</v>
      </c>
      <c r="E77" s="465">
        <v>0</v>
      </c>
    </row>
    <row r="78" spans="1:19" x14ac:dyDescent="0.2">
      <c r="B78" s="462">
        <v>4</v>
      </c>
      <c r="C78" s="463">
        <f>J25</f>
        <v>270100</v>
      </c>
      <c r="D78" s="463">
        <f>K25</f>
        <v>57900</v>
      </c>
      <c r="E78" s="466">
        <f>L25</f>
        <v>19300</v>
      </c>
    </row>
    <row r="79" spans="1:19" x14ac:dyDescent="0.2">
      <c r="B79" s="462">
        <v>5</v>
      </c>
      <c r="C79" s="463">
        <f>M25</f>
        <v>289400</v>
      </c>
      <c r="D79" s="463">
        <f>N25</f>
        <v>57900</v>
      </c>
      <c r="E79" s="466">
        <f>O25</f>
        <v>38600</v>
      </c>
    </row>
    <row r="80" spans="1:19" x14ac:dyDescent="0.2">
      <c r="B80" s="462">
        <v>6</v>
      </c>
      <c r="C80" s="463">
        <f>P25</f>
        <v>318400</v>
      </c>
      <c r="D80" s="463">
        <f>Q25</f>
        <v>57900</v>
      </c>
      <c r="E80" s="466">
        <f>R25</f>
        <v>67600</v>
      </c>
    </row>
    <row r="81" spans="2:5" x14ac:dyDescent="0.2">
      <c r="B81" s="462">
        <v>7</v>
      </c>
      <c r="C81" s="463">
        <f>S25</f>
        <v>347200</v>
      </c>
      <c r="D81" s="463">
        <f>T25</f>
        <v>57900</v>
      </c>
      <c r="E81" s="466">
        <f>U25</f>
        <v>96400</v>
      </c>
    </row>
    <row r="82" spans="2:5" x14ac:dyDescent="0.2">
      <c r="B82" s="462">
        <v>8</v>
      </c>
      <c r="C82" s="463">
        <f>V25</f>
        <v>385800</v>
      </c>
      <c r="D82" s="463">
        <f>W25</f>
        <v>57900</v>
      </c>
      <c r="E82" s="466">
        <f>X25</f>
        <v>135000</v>
      </c>
    </row>
    <row r="83" spans="2:5" ht="13.5" thickBot="1" x14ac:dyDescent="0.25">
      <c r="B83" s="467">
        <v>9</v>
      </c>
      <c r="C83" s="468">
        <f>Y25</f>
        <v>434100</v>
      </c>
      <c r="D83" s="468">
        <f>Z25</f>
        <v>57900</v>
      </c>
      <c r="E83" s="469">
        <f>AA25</f>
        <v>183300</v>
      </c>
    </row>
  </sheetData>
  <sheetProtection password="F4FD" sheet="1" objects="1" scenarios="1"/>
  <mergeCells count="2">
    <mergeCell ref="J2:L2"/>
    <mergeCell ref="M2:O2"/>
  </mergeCells>
  <phoneticPr fontId="0" type="noConversion"/>
  <printOptions gridLines="1"/>
  <pageMargins left="0.25" right="0.25" top="1" bottom="1" header="0.5" footer="0.5"/>
  <pageSetup orientation="landscape" horizontalDpi="4294967292" verticalDpi="4294967292"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A1:AA67"/>
  <sheetViews>
    <sheetView showGridLines="0" zoomScale="125" zoomScaleNormal="125" zoomScalePageLayoutView="125" workbookViewId="0">
      <selection activeCell="N19" sqref="N19"/>
    </sheetView>
  </sheetViews>
  <sheetFormatPr defaultColWidth="8.85546875" defaultRowHeight="12.75" x14ac:dyDescent="0.2"/>
  <cols>
    <col min="2" max="2" width="5.7109375" customWidth="1"/>
    <col min="3" max="3" width="9.85546875" customWidth="1"/>
    <col min="4" max="4" width="9.28515625" customWidth="1"/>
    <col min="5" max="5" width="8.425781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4" width="9.28515625" bestFit="1" customWidth="1"/>
  </cols>
  <sheetData>
    <row r="1" spans="1:27" ht="13.5" thickBot="1" x14ac:dyDescent="0.25">
      <c r="I1" s="53"/>
    </row>
    <row r="2" spans="1:27" ht="13.5" thickBot="1" x14ac:dyDescent="0.25">
      <c r="A2" s="167"/>
      <c r="B2" s="404" t="s">
        <v>51</v>
      </c>
      <c r="C2" s="405"/>
      <c r="D2" s="406" t="s">
        <v>52</v>
      </c>
      <c r="E2" s="407"/>
      <c r="F2" s="406" t="s">
        <v>53</v>
      </c>
      <c r="G2" s="407"/>
      <c r="H2" s="406" t="s">
        <v>54</v>
      </c>
      <c r="I2" s="407"/>
      <c r="J2" s="406" t="s">
        <v>55</v>
      </c>
      <c r="K2" s="408"/>
      <c r="L2" s="407"/>
      <c r="M2" s="406" t="s">
        <v>56</v>
      </c>
      <c r="N2" s="408"/>
      <c r="O2" s="407"/>
      <c r="P2" s="406"/>
      <c r="Q2" s="408" t="s">
        <v>57</v>
      </c>
      <c r="R2" s="407"/>
      <c r="S2" s="406"/>
      <c r="T2" s="408" t="s">
        <v>58</v>
      </c>
      <c r="U2" s="407"/>
      <c r="V2" s="410"/>
      <c r="W2" s="408" t="s">
        <v>121</v>
      </c>
      <c r="X2" s="407"/>
      <c r="Y2" s="411"/>
      <c r="Z2" s="408" t="s">
        <v>122</v>
      </c>
      <c r="AA2" s="407"/>
    </row>
    <row r="3" spans="1:27" ht="14.25" thickTop="1" thickBot="1" x14ac:dyDescent="0.25">
      <c r="A3" s="168" t="s">
        <v>59</v>
      </c>
      <c r="B3" s="20" t="s">
        <v>60</v>
      </c>
      <c r="C3" s="173" t="s">
        <v>61</v>
      </c>
      <c r="D3" s="27" t="s">
        <v>52</v>
      </c>
      <c r="E3" s="178" t="s">
        <v>62</v>
      </c>
      <c r="F3" s="27" t="s">
        <v>53</v>
      </c>
      <c r="G3" s="178" t="s">
        <v>62</v>
      </c>
      <c r="H3" s="27" t="s">
        <v>54</v>
      </c>
      <c r="I3" s="178" t="s">
        <v>62</v>
      </c>
      <c r="J3" s="27" t="s">
        <v>55</v>
      </c>
      <c r="K3" s="180" t="s">
        <v>62</v>
      </c>
      <c r="L3" s="186" t="s">
        <v>63</v>
      </c>
      <c r="M3" s="27" t="s">
        <v>56</v>
      </c>
      <c r="N3" s="180" t="s">
        <v>62</v>
      </c>
      <c r="O3" s="186" t="s">
        <v>63</v>
      </c>
      <c r="P3" s="31" t="s">
        <v>57</v>
      </c>
      <c r="Q3" s="182" t="s">
        <v>62</v>
      </c>
      <c r="R3" s="188" t="s">
        <v>63</v>
      </c>
      <c r="S3" s="31" t="s">
        <v>58</v>
      </c>
      <c r="T3" s="182" t="s">
        <v>62</v>
      </c>
      <c r="U3" s="188" t="s">
        <v>63</v>
      </c>
      <c r="V3" s="382" t="s">
        <v>121</v>
      </c>
      <c r="W3" s="182" t="s">
        <v>62</v>
      </c>
      <c r="X3" s="188" t="s">
        <v>63</v>
      </c>
      <c r="Y3" s="365" t="s">
        <v>122</v>
      </c>
      <c r="Z3" s="182" t="s">
        <v>62</v>
      </c>
      <c r="AA3" s="188" t="s">
        <v>63</v>
      </c>
    </row>
    <row r="4" spans="1:27" ht="13.5" thickBot="1" x14ac:dyDescent="0.25">
      <c r="A4" s="169" t="s">
        <v>22</v>
      </c>
      <c r="B4" s="612" t="s">
        <v>84</v>
      </c>
      <c r="C4" s="610">
        <v>59400</v>
      </c>
      <c r="D4" s="609">
        <v>65400</v>
      </c>
      <c r="E4" s="608">
        <f>D4-C4</f>
        <v>6000</v>
      </c>
      <c r="F4" s="616">
        <v>71300</v>
      </c>
      <c r="G4" s="608">
        <f>F4-C4</f>
        <v>11900</v>
      </c>
      <c r="H4" s="616">
        <v>77300</v>
      </c>
      <c r="I4" s="608">
        <f>H4-C4</f>
        <v>17900</v>
      </c>
      <c r="J4" s="616">
        <v>83200</v>
      </c>
      <c r="K4" s="608">
        <f>I4</f>
        <v>17900</v>
      </c>
      <c r="L4" s="402">
        <f>J4-H4</f>
        <v>5900</v>
      </c>
      <c r="M4" s="609">
        <v>89100</v>
      </c>
      <c r="N4" s="608">
        <f>I4</f>
        <v>17900</v>
      </c>
      <c r="O4" s="402">
        <f>M4-H4</f>
        <v>11800</v>
      </c>
      <c r="P4" s="609">
        <v>98100</v>
      </c>
      <c r="Q4" s="608">
        <f>I4</f>
        <v>17900</v>
      </c>
      <c r="R4" s="402">
        <f>P4-H4</f>
        <v>20800</v>
      </c>
      <c r="S4" s="609">
        <v>107000</v>
      </c>
      <c r="T4" s="608">
        <f>I4</f>
        <v>17900</v>
      </c>
      <c r="U4" s="403">
        <f>S4-H4</f>
        <v>29700</v>
      </c>
      <c r="V4" s="609">
        <v>118800</v>
      </c>
      <c r="W4" s="608">
        <f>I4</f>
        <v>17900</v>
      </c>
      <c r="X4" s="402">
        <f>V4-H4</f>
        <v>41500</v>
      </c>
      <c r="Y4" s="609">
        <v>133700</v>
      </c>
      <c r="Z4" s="608">
        <f>I4</f>
        <v>17900</v>
      </c>
      <c r="AA4" s="402">
        <f>Y4-H4</f>
        <v>56400</v>
      </c>
    </row>
    <row r="5" spans="1:27" ht="13.5" thickBot="1" x14ac:dyDescent="0.25">
      <c r="A5" s="170" t="s">
        <v>23</v>
      </c>
      <c r="B5" s="613">
        <v>1</v>
      </c>
      <c r="C5" s="609">
        <v>68900</v>
      </c>
      <c r="D5" s="609">
        <v>75800</v>
      </c>
      <c r="E5" s="608">
        <f t="shared" ref="E5:E24" si="0">D5-C5</f>
        <v>6900</v>
      </c>
      <c r="F5" s="616">
        <v>82700</v>
      </c>
      <c r="G5" s="608">
        <f t="shared" ref="G5:G24" si="1">F5-C5</f>
        <v>13800</v>
      </c>
      <c r="H5" s="616">
        <v>89600</v>
      </c>
      <c r="I5" s="608">
        <f t="shared" ref="I5:I24" si="2">H5-C5</f>
        <v>20700</v>
      </c>
      <c r="J5" s="616">
        <v>96500</v>
      </c>
      <c r="K5" s="608">
        <f t="shared" ref="K5:K24" si="3">I5</f>
        <v>20700</v>
      </c>
      <c r="L5" s="402">
        <f t="shared" ref="L5:L23" si="4">J5-H5</f>
        <v>6900</v>
      </c>
      <c r="M5" s="609">
        <v>103400</v>
      </c>
      <c r="N5" s="608">
        <f t="shared" ref="N5:N24" si="5">I5</f>
        <v>20700</v>
      </c>
      <c r="O5" s="402">
        <f t="shared" ref="O5:O24" si="6">M5-H5</f>
        <v>13800</v>
      </c>
      <c r="P5" s="609">
        <v>113700</v>
      </c>
      <c r="Q5" s="608">
        <f t="shared" ref="Q5:Q24" si="7">I5</f>
        <v>20700</v>
      </c>
      <c r="R5" s="402">
        <f t="shared" ref="R5:R24" si="8">P5-H5</f>
        <v>24100</v>
      </c>
      <c r="S5" s="609">
        <v>124100</v>
      </c>
      <c r="T5" s="608">
        <f t="shared" ref="T5:T24" si="9">I5</f>
        <v>20700</v>
      </c>
      <c r="U5" s="403">
        <f t="shared" ref="U5:U24" si="10">S5-H5</f>
        <v>34500</v>
      </c>
      <c r="V5" s="609">
        <v>137800</v>
      </c>
      <c r="W5" s="608">
        <f t="shared" ref="W5:W24" si="11">I5</f>
        <v>20700</v>
      </c>
      <c r="X5" s="402">
        <f t="shared" ref="X5:X24" si="12">V5-H5</f>
        <v>48200</v>
      </c>
      <c r="Y5" s="609">
        <v>155100</v>
      </c>
      <c r="Z5" s="608">
        <f t="shared" ref="Z5:Z24" si="13">I5</f>
        <v>20700</v>
      </c>
      <c r="AA5" s="402">
        <f t="shared" ref="AA5:AA24" si="14">Y5-H5</f>
        <v>65500</v>
      </c>
    </row>
    <row r="6" spans="1:27" ht="13.5" thickBot="1" x14ac:dyDescent="0.25">
      <c r="A6" s="171"/>
      <c r="B6" s="614">
        <v>2</v>
      </c>
      <c r="C6" s="609">
        <v>73000</v>
      </c>
      <c r="D6" s="609">
        <v>80300</v>
      </c>
      <c r="E6" s="608">
        <f t="shared" si="0"/>
        <v>7300</v>
      </c>
      <c r="F6" s="616">
        <v>87600</v>
      </c>
      <c r="G6" s="608">
        <f t="shared" si="1"/>
        <v>14600</v>
      </c>
      <c r="H6" s="616">
        <v>94900</v>
      </c>
      <c r="I6" s="608">
        <f t="shared" si="2"/>
        <v>21900</v>
      </c>
      <c r="J6" s="616">
        <v>102200</v>
      </c>
      <c r="K6" s="608">
        <f t="shared" si="3"/>
        <v>21900</v>
      </c>
      <c r="L6" s="402">
        <f t="shared" si="4"/>
        <v>7300</v>
      </c>
      <c r="M6" s="609">
        <v>109500</v>
      </c>
      <c r="N6" s="608">
        <f t="shared" si="5"/>
        <v>21900</v>
      </c>
      <c r="O6" s="402">
        <f t="shared" si="6"/>
        <v>14600</v>
      </c>
      <c r="P6" s="609">
        <v>120500</v>
      </c>
      <c r="Q6" s="608">
        <f t="shared" si="7"/>
        <v>21900</v>
      </c>
      <c r="R6" s="402">
        <f t="shared" si="8"/>
        <v>25600</v>
      </c>
      <c r="S6" s="609">
        <v>131400</v>
      </c>
      <c r="T6" s="608">
        <f t="shared" si="9"/>
        <v>21900</v>
      </c>
      <c r="U6" s="403">
        <f t="shared" si="10"/>
        <v>36500</v>
      </c>
      <c r="V6" s="609">
        <v>146000</v>
      </c>
      <c r="W6" s="608">
        <f t="shared" si="11"/>
        <v>21900</v>
      </c>
      <c r="X6" s="402">
        <f t="shared" si="12"/>
        <v>51100</v>
      </c>
      <c r="Y6" s="609">
        <v>164300</v>
      </c>
      <c r="Z6" s="608">
        <f t="shared" si="13"/>
        <v>21900</v>
      </c>
      <c r="AA6" s="402">
        <f t="shared" si="14"/>
        <v>69400</v>
      </c>
    </row>
    <row r="7" spans="1:27" ht="13.5" thickBot="1" x14ac:dyDescent="0.25">
      <c r="A7" s="171"/>
      <c r="B7" s="614">
        <v>3</v>
      </c>
      <c r="C7" s="609">
        <v>77000</v>
      </c>
      <c r="D7" s="609">
        <v>84700</v>
      </c>
      <c r="E7" s="608">
        <f t="shared" si="0"/>
        <v>7700</v>
      </c>
      <c r="F7" s="616">
        <v>92400</v>
      </c>
      <c r="G7" s="608">
        <f t="shared" si="1"/>
        <v>15400</v>
      </c>
      <c r="H7" s="616">
        <v>100100</v>
      </c>
      <c r="I7" s="608">
        <f t="shared" si="2"/>
        <v>23100</v>
      </c>
      <c r="J7" s="616">
        <v>107800</v>
      </c>
      <c r="K7" s="608">
        <f t="shared" si="3"/>
        <v>23100</v>
      </c>
      <c r="L7" s="402">
        <f t="shared" si="4"/>
        <v>7700</v>
      </c>
      <c r="M7" s="609">
        <v>115500</v>
      </c>
      <c r="N7" s="608">
        <f t="shared" si="5"/>
        <v>23100</v>
      </c>
      <c r="O7" s="402">
        <f t="shared" si="6"/>
        <v>15400</v>
      </c>
      <c r="P7" s="609">
        <v>127100</v>
      </c>
      <c r="Q7" s="608">
        <f t="shared" si="7"/>
        <v>23100</v>
      </c>
      <c r="R7" s="402">
        <f t="shared" si="8"/>
        <v>27000</v>
      </c>
      <c r="S7" s="609">
        <v>138600</v>
      </c>
      <c r="T7" s="608">
        <f t="shared" si="9"/>
        <v>23100</v>
      </c>
      <c r="U7" s="403">
        <f t="shared" si="10"/>
        <v>38500</v>
      </c>
      <c r="V7" s="609">
        <v>154000</v>
      </c>
      <c r="W7" s="608">
        <f t="shared" si="11"/>
        <v>23100</v>
      </c>
      <c r="X7" s="402">
        <f t="shared" si="12"/>
        <v>53900</v>
      </c>
      <c r="Y7" s="609">
        <v>173300</v>
      </c>
      <c r="Z7" s="608">
        <f t="shared" si="13"/>
        <v>23100</v>
      </c>
      <c r="AA7" s="402">
        <f t="shared" si="14"/>
        <v>73200</v>
      </c>
    </row>
    <row r="8" spans="1:27" ht="13.5" thickBot="1" x14ac:dyDescent="0.25">
      <c r="A8" s="171"/>
      <c r="B8" s="614">
        <v>4</v>
      </c>
      <c r="C8" s="609">
        <v>81500</v>
      </c>
      <c r="D8" s="609">
        <v>89700</v>
      </c>
      <c r="E8" s="608">
        <f t="shared" si="0"/>
        <v>8200</v>
      </c>
      <c r="F8" s="616">
        <v>97800</v>
      </c>
      <c r="G8" s="608">
        <f t="shared" si="1"/>
        <v>16300</v>
      </c>
      <c r="H8" s="616">
        <v>106000</v>
      </c>
      <c r="I8" s="608">
        <f t="shared" si="2"/>
        <v>24500</v>
      </c>
      <c r="J8" s="616">
        <v>114100</v>
      </c>
      <c r="K8" s="608">
        <f t="shared" si="3"/>
        <v>24500</v>
      </c>
      <c r="L8" s="402">
        <f t="shared" si="4"/>
        <v>8100</v>
      </c>
      <c r="M8" s="609">
        <v>122300</v>
      </c>
      <c r="N8" s="608">
        <f t="shared" si="5"/>
        <v>24500</v>
      </c>
      <c r="O8" s="402">
        <f t="shared" si="6"/>
        <v>16300</v>
      </c>
      <c r="P8" s="609">
        <v>134500</v>
      </c>
      <c r="Q8" s="608">
        <f t="shared" si="7"/>
        <v>24500</v>
      </c>
      <c r="R8" s="402">
        <f t="shared" si="8"/>
        <v>28500</v>
      </c>
      <c r="S8" s="609">
        <v>146700</v>
      </c>
      <c r="T8" s="608">
        <f t="shared" si="9"/>
        <v>24500</v>
      </c>
      <c r="U8" s="403">
        <f t="shared" si="10"/>
        <v>40700</v>
      </c>
      <c r="V8" s="609">
        <v>163000</v>
      </c>
      <c r="W8" s="608">
        <f t="shared" si="11"/>
        <v>24500</v>
      </c>
      <c r="X8" s="402">
        <f t="shared" si="12"/>
        <v>57000</v>
      </c>
      <c r="Y8" s="609">
        <v>183400</v>
      </c>
      <c r="Z8" s="608">
        <f t="shared" si="13"/>
        <v>24500</v>
      </c>
      <c r="AA8" s="402">
        <f t="shared" si="14"/>
        <v>77400</v>
      </c>
    </row>
    <row r="9" spans="1:27" ht="13.5" thickBot="1" x14ac:dyDescent="0.25">
      <c r="A9" s="171"/>
      <c r="B9" s="614">
        <v>5</v>
      </c>
      <c r="C9" s="609">
        <v>85400</v>
      </c>
      <c r="D9" s="609">
        <v>94000</v>
      </c>
      <c r="E9" s="608">
        <f t="shared" si="0"/>
        <v>8600</v>
      </c>
      <c r="F9" s="616">
        <v>102500</v>
      </c>
      <c r="G9" s="608">
        <f t="shared" si="1"/>
        <v>17100</v>
      </c>
      <c r="H9" s="616">
        <v>111100</v>
      </c>
      <c r="I9" s="608">
        <f t="shared" si="2"/>
        <v>25700</v>
      </c>
      <c r="J9" s="616">
        <v>119600</v>
      </c>
      <c r="K9" s="608">
        <f t="shared" si="3"/>
        <v>25700</v>
      </c>
      <c r="L9" s="402">
        <f t="shared" si="4"/>
        <v>8500</v>
      </c>
      <c r="M9" s="609">
        <v>128100</v>
      </c>
      <c r="N9" s="608">
        <f t="shared" si="5"/>
        <v>25700</v>
      </c>
      <c r="O9" s="402">
        <f t="shared" si="6"/>
        <v>17000</v>
      </c>
      <c r="P9" s="609">
        <v>141000</v>
      </c>
      <c r="Q9" s="608">
        <f t="shared" si="7"/>
        <v>25700</v>
      </c>
      <c r="R9" s="402">
        <f t="shared" si="8"/>
        <v>29900</v>
      </c>
      <c r="S9" s="609">
        <v>153800</v>
      </c>
      <c r="T9" s="608">
        <f t="shared" si="9"/>
        <v>25700</v>
      </c>
      <c r="U9" s="403">
        <f t="shared" si="10"/>
        <v>42700</v>
      </c>
      <c r="V9" s="609">
        <v>170800</v>
      </c>
      <c r="W9" s="608">
        <f t="shared" si="11"/>
        <v>25700</v>
      </c>
      <c r="X9" s="402">
        <f t="shared" si="12"/>
        <v>59700</v>
      </c>
      <c r="Y9" s="609">
        <v>192200</v>
      </c>
      <c r="Z9" s="608">
        <f t="shared" si="13"/>
        <v>25700</v>
      </c>
      <c r="AA9" s="402">
        <f t="shared" si="14"/>
        <v>81100</v>
      </c>
    </row>
    <row r="10" spans="1:27" ht="13.5" thickBot="1" x14ac:dyDescent="0.25">
      <c r="A10" s="172"/>
      <c r="B10" s="615">
        <v>6</v>
      </c>
      <c r="C10" s="609">
        <v>89600</v>
      </c>
      <c r="D10" s="609">
        <v>98600</v>
      </c>
      <c r="E10" s="608">
        <f t="shared" si="0"/>
        <v>9000</v>
      </c>
      <c r="F10" s="616">
        <v>107600</v>
      </c>
      <c r="G10" s="608">
        <f t="shared" si="1"/>
        <v>18000</v>
      </c>
      <c r="H10" s="616">
        <v>116500</v>
      </c>
      <c r="I10" s="608">
        <f t="shared" si="2"/>
        <v>26900</v>
      </c>
      <c r="J10" s="616">
        <v>125500</v>
      </c>
      <c r="K10" s="608">
        <f t="shared" si="3"/>
        <v>26900</v>
      </c>
      <c r="L10" s="402">
        <f t="shared" si="4"/>
        <v>9000</v>
      </c>
      <c r="M10" s="609">
        <v>134400</v>
      </c>
      <c r="N10" s="608">
        <f t="shared" si="5"/>
        <v>26900</v>
      </c>
      <c r="O10" s="402">
        <f t="shared" si="6"/>
        <v>17900</v>
      </c>
      <c r="P10" s="609">
        <v>147900</v>
      </c>
      <c r="Q10" s="608">
        <f t="shared" si="7"/>
        <v>26900</v>
      </c>
      <c r="R10" s="402">
        <f t="shared" si="8"/>
        <v>31400</v>
      </c>
      <c r="S10" s="609">
        <v>161300</v>
      </c>
      <c r="T10" s="608">
        <f t="shared" si="9"/>
        <v>26900</v>
      </c>
      <c r="U10" s="403">
        <f t="shared" si="10"/>
        <v>44800</v>
      </c>
      <c r="V10" s="609">
        <v>179200</v>
      </c>
      <c r="W10" s="608">
        <f t="shared" si="11"/>
        <v>26900</v>
      </c>
      <c r="X10" s="402">
        <f t="shared" si="12"/>
        <v>62700</v>
      </c>
      <c r="Y10" s="609">
        <v>201600</v>
      </c>
      <c r="Z10" s="608">
        <f t="shared" si="13"/>
        <v>26900</v>
      </c>
      <c r="AA10" s="402">
        <f t="shared" si="14"/>
        <v>85100</v>
      </c>
    </row>
    <row r="11" spans="1:27" ht="13.5" thickBot="1" x14ac:dyDescent="0.25">
      <c r="A11" s="170" t="s">
        <v>24</v>
      </c>
      <c r="B11" s="613">
        <v>1</v>
      </c>
      <c r="C11" s="609">
        <v>85500</v>
      </c>
      <c r="D11" s="609">
        <v>94100</v>
      </c>
      <c r="E11" s="608">
        <f t="shared" si="0"/>
        <v>8600</v>
      </c>
      <c r="F11" s="616">
        <v>102600</v>
      </c>
      <c r="G11" s="608">
        <f t="shared" si="1"/>
        <v>17100</v>
      </c>
      <c r="H11" s="616">
        <v>111200</v>
      </c>
      <c r="I11" s="608">
        <f t="shared" si="2"/>
        <v>25700</v>
      </c>
      <c r="J11" s="616">
        <v>119700</v>
      </c>
      <c r="K11" s="608">
        <f t="shared" si="3"/>
        <v>25700</v>
      </c>
      <c r="L11" s="402">
        <f t="shared" si="4"/>
        <v>8500</v>
      </c>
      <c r="M11" s="609">
        <v>128300</v>
      </c>
      <c r="N11" s="608">
        <f t="shared" si="5"/>
        <v>25700</v>
      </c>
      <c r="O11" s="402">
        <f t="shared" si="6"/>
        <v>17100</v>
      </c>
      <c r="P11" s="609">
        <v>141100</v>
      </c>
      <c r="Q11" s="608">
        <f t="shared" si="7"/>
        <v>25700</v>
      </c>
      <c r="R11" s="402">
        <f t="shared" si="8"/>
        <v>29900</v>
      </c>
      <c r="S11" s="609">
        <v>153900</v>
      </c>
      <c r="T11" s="608">
        <f t="shared" si="9"/>
        <v>25700</v>
      </c>
      <c r="U11" s="403">
        <f t="shared" si="10"/>
        <v>42700</v>
      </c>
      <c r="V11" s="609">
        <v>171000</v>
      </c>
      <c r="W11" s="608">
        <f t="shared" si="11"/>
        <v>25700</v>
      </c>
      <c r="X11" s="402">
        <f t="shared" si="12"/>
        <v>59800</v>
      </c>
      <c r="Y11" s="609">
        <v>192400</v>
      </c>
      <c r="Z11" s="608">
        <f t="shared" si="13"/>
        <v>25700</v>
      </c>
      <c r="AA11" s="402">
        <f t="shared" si="14"/>
        <v>81200</v>
      </c>
    </row>
    <row r="12" spans="1:27" ht="13.5" thickBot="1" x14ac:dyDescent="0.25">
      <c r="A12" s="171"/>
      <c r="B12" s="614">
        <v>2</v>
      </c>
      <c r="C12" s="609">
        <v>89700</v>
      </c>
      <c r="D12" s="609">
        <v>98700</v>
      </c>
      <c r="E12" s="608">
        <f t="shared" si="0"/>
        <v>9000</v>
      </c>
      <c r="F12" s="616">
        <v>107700</v>
      </c>
      <c r="G12" s="608">
        <f t="shared" si="1"/>
        <v>18000</v>
      </c>
      <c r="H12" s="616">
        <v>116700</v>
      </c>
      <c r="I12" s="608">
        <f t="shared" si="2"/>
        <v>27000</v>
      </c>
      <c r="J12" s="616">
        <v>125600</v>
      </c>
      <c r="K12" s="608">
        <f t="shared" si="3"/>
        <v>27000</v>
      </c>
      <c r="L12" s="402">
        <f t="shared" si="4"/>
        <v>8900</v>
      </c>
      <c r="M12" s="609">
        <v>134600</v>
      </c>
      <c r="N12" s="608">
        <f t="shared" si="5"/>
        <v>27000</v>
      </c>
      <c r="O12" s="402">
        <f t="shared" si="6"/>
        <v>17900</v>
      </c>
      <c r="P12" s="609">
        <v>148100</v>
      </c>
      <c r="Q12" s="608">
        <f t="shared" si="7"/>
        <v>27000</v>
      </c>
      <c r="R12" s="402">
        <f t="shared" si="8"/>
        <v>31400</v>
      </c>
      <c r="S12" s="609">
        <v>161500</v>
      </c>
      <c r="T12" s="608">
        <f t="shared" si="9"/>
        <v>27000</v>
      </c>
      <c r="U12" s="403">
        <f t="shared" si="10"/>
        <v>44800</v>
      </c>
      <c r="V12" s="609">
        <v>179400</v>
      </c>
      <c r="W12" s="608">
        <f t="shared" si="11"/>
        <v>27000</v>
      </c>
      <c r="X12" s="402">
        <f t="shared" si="12"/>
        <v>62700</v>
      </c>
      <c r="Y12" s="609">
        <v>201900</v>
      </c>
      <c r="Z12" s="608">
        <f t="shared" si="13"/>
        <v>27000</v>
      </c>
      <c r="AA12" s="402">
        <f t="shared" si="14"/>
        <v>85200</v>
      </c>
    </row>
    <row r="13" spans="1:27" ht="13.5" thickBot="1" x14ac:dyDescent="0.25">
      <c r="A13" s="171"/>
      <c r="B13" s="614">
        <v>3</v>
      </c>
      <c r="C13" s="609">
        <v>94600</v>
      </c>
      <c r="D13" s="609">
        <v>104100</v>
      </c>
      <c r="E13" s="608">
        <f t="shared" si="0"/>
        <v>9500</v>
      </c>
      <c r="F13" s="616">
        <v>113600</v>
      </c>
      <c r="G13" s="608">
        <f t="shared" si="1"/>
        <v>19000</v>
      </c>
      <c r="H13" s="616">
        <v>123000</v>
      </c>
      <c r="I13" s="608">
        <f t="shared" si="2"/>
        <v>28400</v>
      </c>
      <c r="J13" s="616">
        <v>132500</v>
      </c>
      <c r="K13" s="608">
        <f t="shared" si="3"/>
        <v>28400</v>
      </c>
      <c r="L13" s="402">
        <f t="shared" si="4"/>
        <v>9500</v>
      </c>
      <c r="M13" s="609">
        <v>141900</v>
      </c>
      <c r="N13" s="608">
        <f t="shared" si="5"/>
        <v>28400</v>
      </c>
      <c r="O13" s="402">
        <f t="shared" si="6"/>
        <v>18900</v>
      </c>
      <c r="P13" s="609">
        <v>156100</v>
      </c>
      <c r="Q13" s="608">
        <f t="shared" si="7"/>
        <v>28400</v>
      </c>
      <c r="R13" s="402">
        <f t="shared" si="8"/>
        <v>33100</v>
      </c>
      <c r="S13" s="609">
        <v>170300</v>
      </c>
      <c r="T13" s="608">
        <f t="shared" si="9"/>
        <v>28400</v>
      </c>
      <c r="U13" s="403">
        <f t="shared" si="10"/>
        <v>47300</v>
      </c>
      <c r="V13" s="609">
        <v>189200</v>
      </c>
      <c r="W13" s="608">
        <f t="shared" si="11"/>
        <v>28400</v>
      </c>
      <c r="X13" s="402">
        <f t="shared" si="12"/>
        <v>66200</v>
      </c>
      <c r="Y13" s="609">
        <v>212900</v>
      </c>
      <c r="Z13" s="608">
        <f t="shared" si="13"/>
        <v>28400</v>
      </c>
      <c r="AA13" s="402">
        <f t="shared" si="14"/>
        <v>89900</v>
      </c>
    </row>
    <row r="14" spans="1:27" ht="13.5" thickBot="1" x14ac:dyDescent="0.25">
      <c r="A14" s="171"/>
      <c r="B14" s="614">
        <v>4</v>
      </c>
      <c r="C14" s="609">
        <v>100500</v>
      </c>
      <c r="D14" s="609">
        <v>110600</v>
      </c>
      <c r="E14" s="608">
        <f t="shared" si="0"/>
        <v>10100</v>
      </c>
      <c r="F14" s="616">
        <v>120600</v>
      </c>
      <c r="G14" s="608">
        <f t="shared" si="1"/>
        <v>20100</v>
      </c>
      <c r="H14" s="616">
        <v>130700</v>
      </c>
      <c r="I14" s="608">
        <f t="shared" si="2"/>
        <v>30200</v>
      </c>
      <c r="J14" s="616">
        <v>140700</v>
      </c>
      <c r="K14" s="608">
        <f t="shared" si="3"/>
        <v>30200</v>
      </c>
      <c r="L14" s="402">
        <f t="shared" si="4"/>
        <v>10000</v>
      </c>
      <c r="M14" s="609">
        <v>150800</v>
      </c>
      <c r="N14" s="608">
        <f t="shared" si="5"/>
        <v>30200</v>
      </c>
      <c r="O14" s="402">
        <f t="shared" si="6"/>
        <v>20100</v>
      </c>
      <c r="P14" s="609">
        <v>165900</v>
      </c>
      <c r="Q14" s="608">
        <f t="shared" si="7"/>
        <v>30200</v>
      </c>
      <c r="R14" s="402">
        <f t="shared" si="8"/>
        <v>35200</v>
      </c>
      <c r="S14" s="609">
        <v>180900</v>
      </c>
      <c r="T14" s="608">
        <f t="shared" si="9"/>
        <v>30200</v>
      </c>
      <c r="U14" s="403">
        <f t="shared" si="10"/>
        <v>50200</v>
      </c>
      <c r="V14" s="609">
        <v>201000</v>
      </c>
      <c r="W14" s="608">
        <f t="shared" si="11"/>
        <v>30200</v>
      </c>
      <c r="X14" s="402">
        <f t="shared" si="12"/>
        <v>70300</v>
      </c>
      <c r="Y14" s="609">
        <v>226200</v>
      </c>
      <c r="Z14" s="608">
        <f t="shared" si="13"/>
        <v>30200</v>
      </c>
      <c r="AA14" s="402">
        <f t="shared" si="14"/>
        <v>95500</v>
      </c>
    </row>
    <row r="15" spans="1:27" ht="13.5" thickBot="1" x14ac:dyDescent="0.25">
      <c r="A15" s="172"/>
      <c r="B15" s="615">
        <v>5</v>
      </c>
      <c r="C15" s="609">
        <v>108400</v>
      </c>
      <c r="D15" s="609">
        <v>119300</v>
      </c>
      <c r="E15" s="608">
        <f t="shared" si="0"/>
        <v>10900</v>
      </c>
      <c r="F15" s="616">
        <v>130100</v>
      </c>
      <c r="G15" s="608">
        <f t="shared" si="1"/>
        <v>21700</v>
      </c>
      <c r="H15" s="616">
        <v>141000</v>
      </c>
      <c r="I15" s="608">
        <f t="shared" si="2"/>
        <v>32600</v>
      </c>
      <c r="J15" s="616">
        <v>151800</v>
      </c>
      <c r="K15" s="608">
        <f t="shared" si="3"/>
        <v>32600</v>
      </c>
      <c r="L15" s="402">
        <f t="shared" si="4"/>
        <v>10800</v>
      </c>
      <c r="M15" s="609">
        <v>162600</v>
      </c>
      <c r="N15" s="608">
        <f t="shared" si="5"/>
        <v>32600</v>
      </c>
      <c r="O15" s="402">
        <f t="shared" si="6"/>
        <v>21600</v>
      </c>
      <c r="P15" s="609">
        <v>178900</v>
      </c>
      <c r="Q15" s="608">
        <f t="shared" si="7"/>
        <v>32600</v>
      </c>
      <c r="R15" s="402">
        <f t="shared" si="8"/>
        <v>37900</v>
      </c>
      <c r="S15" s="609">
        <v>195200</v>
      </c>
      <c r="T15" s="608">
        <f t="shared" si="9"/>
        <v>32600</v>
      </c>
      <c r="U15" s="403">
        <f t="shared" si="10"/>
        <v>54200</v>
      </c>
      <c r="V15" s="609">
        <v>216800</v>
      </c>
      <c r="W15" s="608">
        <f t="shared" si="11"/>
        <v>32600</v>
      </c>
      <c r="X15" s="402">
        <f t="shared" si="12"/>
        <v>75800</v>
      </c>
      <c r="Y15" s="609">
        <v>243900</v>
      </c>
      <c r="Z15" s="608">
        <f t="shared" si="13"/>
        <v>32600</v>
      </c>
      <c r="AA15" s="402">
        <f t="shared" si="14"/>
        <v>102900</v>
      </c>
    </row>
    <row r="16" spans="1:27" ht="13.5" thickBot="1" x14ac:dyDescent="0.25">
      <c r="A16" s="170" t="s">
        <v>25</v>
      </c>
      <c r="B16" s="613">
        <v>1</v>
      </c>
      <c r="C16" s="609">
        <v>100600</v>
      </c>
      <c r="D16" s="609">
        <v>110700</v>
      </c>
      <c r="E16" s="608">
        <f t="shared" si="0"/>
        <v>10100</v>
      </c>
      <c r="F16" s="616">
        <v>120800</v>
      </c>
      <c r="G16" s="608">
        <f t="shared" si="1"/>
        <v>20200</v>
      </c>
      <c r="H16" s="616">
        <v>130800</v>
      </c>
      <c r="I16" s="608">
        <f t="shared" si="2"/>
        <v>30200</v>
      </c>
      <c r="J16" s="616">
        <v>140900</v>
      </c>
      <c r="K16" s="608">
        <f t="shared" si="3"/>
        <v>30200</v>
      </c>
      <c r="L16" s="402">
        <f t="shared" si="4"/>
        <v>10100</v>
      </c>
      <c r="M16" s="609">
        <v>150900</v>
      </c>
      <c r="N16" s="608">
        <f t="shared" si="5"/>
        <v>30200</v>
      </c>
      <c r="O16" s="402">
        <f t="shared" si="6"/>
        <v>20100</v>
      </c>
      <c r="P16" s="609">
        <v>166000</v>
      </c>
      <c r="Q16" s="608">
        <f t="shared" si="7"/>
        <v>30200</v>
      </c>
      <c r="R16" s="402">
        <f t="shared" si="8"/>
        <v>35200</v>
      </c>
      <c r="S16" s="609">
        <v>181100</v>
      </c>
      <c r="T16" s="608">
        <f t="shared" si="9"/>
        <v>30200</v>
      </c>
      <c r="U16" s="403">
        <f t="shared" si="10"/>
        <v>50300</v>
      </c>
      <c r="V16" s="609">
        <v>201200</v>
      </c>
      <c r="W16" s="608">
        <f t="shared" si="11"/>
        <v>30200</v>
      </c>
      <c r="X16" s="402">
        <f t="shared" si="12"/>
        <v>70400</v>
      </c>
      <c r="Y16" s="609">
        <v>226400</v>
      </c>
      <c r="Z16" s="608">
        <f t="shared" si="13"/>
        <v>30200</v>
      </c>
      <c r="AA16" s="402">
        <f t="shared" si="14"/>
        <v>95600</v>
      </c>
    </row>
    <row r="17" spans="1:27" ht="13.5" thickBot="1" x14ac:dyDescent="0.25">
      <c r="A17" s="171"/>
      <c r="B17" s="614">
        <v>2</v>
      </c>
      <c r="C17" s="609">
        <v>108500</v>
      </c>
      <c r="D17" s="609">
        <v>119400</v>
      </c>
      <c r="E17" s="608">
        <f t="shared" si="0"/>
        <v>10900</v>
      </c>
      <c r="F17" s="616">
        <v>130200</v>
      </c>
      <c r="G17" s="608">
        <f t="shared" si="1"/>
        <v>21700</v>
      </c>
      <c r="H17" s="616">
        <v>141100</v>
      </c>
      <c r="I17" s="608">
        <f t="shared" si="2"/>
        <v>32600</v>
      </c>
      <c r="J17" s="616">
        <v>151900</v>
      </c>
      <c r="K17" s="608">
        <f t="shared" si="3"/>
        <v>32600</v>
      </c>
      <c r="L17" s="402">
        <f t="shared" si="4"/>
        <v>10800</v>
      </c>
      <c r="M17" s="609">
        <v>162800</v>
      </c>
      <c r="N17" s="608">
        <f t="shared" si="5"/>
        <v>32600</v>
      </c>
      <c r="O17" s="402">
        <f t="shared" si="6"/>
        <v>21700</v>
      </c>
      <c r="P17" s="609">
        <v>179100</v>
      </c>
      <c r="Q17" s="608">
        <f t="shared" si="7"/>
        <v>32600</v>
      </c>
      <c r="R17" s="402">
        <f t="shared" si="8"/>
        <v>38000</v>
      </c>
      <c r="S17" s="609">
        <v>195300</v>
      </c>
      <c r="T17" s="608">
        <f t="shared" si="9"/>
        <v>32600</v>
      </c>
      <c r="U17" s="403">
        <f t="shared" si="10"/>
        <v>54200</v>
      </c>
      <c r="V17" s="609">
        <v>217000</v>
      </c>
      <c r="W17" s="608">
        <f t="shared" si="11"/>
        <v>32600</v>
      </c>
      <c r="X17" s="402">
        <f t="shared" si="12"/>
        <v>75900</v>
      </c>
      <c r="Y17" s="609">
        <v>244200</v>
      </c>
      <c r="Z17" s="608">
        <f t="shared" si="13"/>
        <v>32600</v>
      </c>
      <c r="AA17" s="402">
        <f t="shared" si="14"/>
        <v>103100</v>
      </c>
    </row>
    <row r="18" spans="1:27" ht="13.5" thickBot="1" x14ac:dyDescent="0.25">
      <c r="A18" s="171"/>
      <c r="B18" s="614">
        <v>3</v>
      </c>
      <c r="C18" s="609">
        <v>116300</v>
      </c>
      <c r="D18" s="609">
        <v>128000</v>
      </c>
      <c r="E18" s="608">
        <f t="shared" si="0"/>
        <v>11700</v>
      </c>
      <c r="F18" s="616">
        <v>139600</v>
      </c>
      <c r="G18" s="608">
        <f t="shared" si="1"/>
        <v>23300</v>
      </c>
      <c r="H18" s="616">
        <v>151200</v>
      </c>
      <c r="I18" s="608">
        <f t="shared" si="2"/>
        <v>34900</v>
      </c>
      <c r="J18" s="616">
        <v>162900</v>
      </c>
      <c r="K18" s="608">
        <f t="shared" si="3"/>
        <v>34900</v>
      </c>
      <c r="L18" s="402">
        <f t="shared" si="4"/>
        <v>11700</v>
      </c>
      <c r="M18" s="609">
        <v>174500</v>
      </c>
      <c r="N18" s="608">
        <f t="shared" si="5"/>
        <v>34900</v>
      </c>
      <c r="O18" s="402">
        <f t="shared" si="6"/>
        <v>23300</v>
      </c>
      <c r="P18" s="609">
        <v>191900</v>
      </c>
      <c r="Q18" s="608">
        <f t="shared" si="7"/>
        <v>34900</v>
      </c>
      <c r="R18" s="402">
        <f t="shared" si="8"/>
        <v>40700</v>
      </c>
      <c r="S18" s="609">
        <v>209400</v>
      </c>
      <c r="T18" s="608">
        <f t="shared" si="9"/>
        <v>34900</v>
      </c>
      <c r="U18" s="403">
        <f t="shared" si="10"/>
        <v>58200</v>
      </c>
      <c r="V18" s="609">
        <v>232600</v>
      </c>
      <c r="W18" s="608">
        <f t="shared" si="11"/>
        <v>34900</v>
      </c>
      <c r="X18" s="402">
        <f t="shared" si="12"/>
        <v>81400</v>
      </c>
      <c r="Y18" s="609">
        <v>261700</v>
      </c>
      <c r="Z18" s="608">
        <f t="shared" si="13"/>
        <v>34900</v>
      </c>
      <c r="AA18" s="402">
        <f t="shared" si="14"/>
        <v>110500</v>
      </c>
    </row>
    <row r="19" spans="1:27" ht="13.5" thickBot="1" x14ac:dyDescent="0.25">
      <c r="A19" s="171"/>
      <c r="B19" s="614">
        <v>4</v>
      </c>
      <c r="C19" s="609">
        <v>124700</v>
      </c>
      <c r="D19" s="609">
        <v>137200</v>
      </c>
      <c r="E19" s="608">
        <f t="shared" si="0"/>
        <v>12500</v>
      </c>
      <c r="F19" s="616">
        <v>149700</v>
      </c>
      <c r="G19" s="608">
        <f t="shared" si="1"/>
        <v>25000</v>
      </c>
      <c r="H19" s="616">
        <v>162200</v>
      </c>
      <c r="I19" s="608">
        <f t="shared" si="2"/>
        <v>37500</v>
      </c>
      <c r="J19" s="616">
        <v>174600</v>
      </c>
      <c r="K19" s="608">
        <f t="shared" si="3"/>
        <v>37500</v>
      </c>
      <c r="L19" s="402">
        <f t="shared" si="4"/>
        <v>12400</v>
      </c>
      <c r="M19" s="609">
        <v>187100</v>
      </c>
      <c r="N19" s="608">
        <f t="shared" si="5"/>
        <v>37500</v>
      </c>
      <c r="O19" s="402">
        <f t="shared" si="6"/>
        <v>24900</v>
      </c>
      <c r="P19" s="609">
        <v>205800</v>
      </c>
      <c r="Q19" s="608">
        <f t="shared" si="7"/>
        <v>37500</v>
      </c>
      <c r="R19" s="402">
        <f t="shared" si="8"/>
        <v>43600</v>
      </c>
      <c r="S19" s="609">
        <v>224500</v>
      </c>
      <c r="T19" s="608">
        <f t="shared" si="9"/>
        <v>37500</v>
      </c>
      <c r="U19" s="403">
        <f t="shared" si="10"/>
        <v>62300</v>
      </c>
      <c r="V19" s="609">
        <v>249400</v>
      </c>
      <c r="W19" s="608">
        <f t="shared" si="11"/>
        <v>37500</v>
      </c>
      <c r="X19" s="402">
        <f t="shared" si="12"/>
        <v>87200</v>
      </c>
      <c r="Y19" s="609">
        <v>280600</v>
      </c>
      <c r="Z19" s="608">
        <f t="shared" si="13"/>
        <v>37500</v>
      </c>
      <c r="AA19" s="402">
        <f t="shared" si="14"/>
        <v>118400</v>
      </c>
    </row>
    <row r="20" spans="1:27" ht="13.5" thickBot="1" x14ac:dyDescent="0.25">
      <c r="A20" s="171"/>
      <c r="B20" s="614">
        <v>5</v>
      </c>
      <c r="C20" s="609">
        <v>133600</v>
      </c>
      <c r="D20" s="609">
        <v>147000</v>
      </c>
      <c r="E20" s="608">
        <f t="shared" si="0"/>
        <v>13400</v>
      </c>
      <c r="F20" s="616">
        <v>160400</v>
      </c>
      <c r="G20" s="608">
        <f t="shared" si="1"/>
        <v>26800</v>
      </c>
      <c r="H20" s="616">
        <v>173700</v>
      </c>
      <c r="I20" s="608">
        <f t="shared" si="2"/>
        <v>40100</v>
      </c>
      <c r="J20" s="616">
        <v>187100</v>
      </c>
      <c r="K20" s="608">
        <f t="shared" si="3"/>
        <v>40100</v>
      </c>
      <c r="L20" s="402">
        <f t="shared" si="4"/>
        <v>13400</v>
      </c>
      <c r="M20" s="609">
        <v>200400</v>
      </c>
      <c r="N20" s="608">
        <f t="shared" si="5"/>
        <v>40100</v>
      </c>
      <c r="O20" s="402">
        <f t="shared" si="6"/>
        <v>26700</v>
      </c>
      <c r="P20" s="609">
        <v>220500</v>
      </c>
      <c r="Q20" s="608">
        <f t="shared" si="7"/>
        <v>40100</v>
      </c>
      <c r="R20" s="402">
        <f t="shared" si="8"/>
        <v>46800</v>
      </c>
      <c r="S20" s="609">
        <v>240500</v>
      </c>
      <c r="T20" s="608">
        <f t="shared" si="9"/>
        <v>40100</v>
      </c>
      <c r="U20" s="403">
        <f t="shared" si="10"/>
        <v>66800</v>
      </c>
      <c r="V20" s="609">
        <v>267200</v>
      </c>
      <c r="W20" s="608">
        <f t="shared" si="11"/>
        <v>40100</v>
      </c>
      <c r="X20" s="402">
        <f t="shared" si="12"/>
        <v>93500</v>
      </c>
      <c r="Y20" s="609">
        <v>300600</v>
      </c>
      <c r="Z20" s="608">
        <f t="shared" si="13"/>
        <v>40100</v>
      </c>
      <c r="AA20" s="402">
        <f t="shared" si="14"/>
        <v>126900</v>
      </c>
    </row>
    <row r="21" spans="1:27" ht="13.5" thickBot="1" x14ac:dyDescent="0.25">
      <c r="A21" s="171"/>
      <c r="B21" s="614">
        <v>6</v>
      </c>
      <c r="C21" s="609">
        <v>144700</v>
      </c>
      <c r="D21" s="609">
        <v>159200</v>
      </c>
      <c r="E21" s="608">
        <f t="shared" si="0"/>
        <v>14500</v>
      </c>
      <c r="F21" s="616">
        <v>173700</v>
      </c>
      <c r="G21" s="608">
        <f t="shared" si="1"/>
        <v>29000</v>
      </c>
      <c r="H21" s="616">
        <v>188200</v>
      </c>
      <c r="I21" s="608">
        <f t="shared" si="2"/>
        <v>43500</v>
      </c>
      <c r="J21" s="616">
        <v>202600</v>
      </c>
      <c r="K21" s="608">
        <f t="shared" si="3"/>
        <v>43500</v>
      </c>
      <c r="L21" s="402">
        <f t="shared" si="4"/>
        <v>14400</v>
      </c>
      <c r="M21" s="609">
        <v>217100</v>
      </c>
      <c r="N21" s="608">
        <f t="shared" si="5"/>
        <v>43500</v>
      </c>
      <c r="O21" s="402">
        <f t="shared" si="6"/>
        <v>28900</v>
      </c>
      <c r="P21" s="609">
        <v>238800</v>
      </c>
      <c r="Q21" s="608">
        <f t="shared" si="7"/>
        <v>43500</v>
      </c>
      <c r="R21" s="402">
        <f t="shared" si="8"/>
        <v>50600</v>
      </c>
      <c r="S21" s="609">
        <v>260500</v>
      </c>
      <c r="T21" s="608">
        <f t="shared" si="9"/>
        <v>43500</v>
      </c>
      <c r="U21" s="403">
        <f t="shared" si="10"/>
        <v>72300</v>
      </c>
      <c r="V21" s="609">
        <v>289400</v>
      </c>
      <c r="W21" s="608">
        <f t="shared" si="11"/>
        <v>43500</v>
      </c>
      <c r="X21" s="402">
        <f t="shared" si="12"/>
        <v>101200</v>
      </c>
      <c r="Y21" s="609">
        <v>325600</v>
      </c>
      <c r="Z21" s="608">
        <f t="shared" si="13"/>
        <v>43500</v>
      </c>
      <c r="AA21" s="402">
        <f t="shared" si="14"/>
        <v>137400</v>
      </c>
    </row>
    <row r="22" spans="1:27" ht="13.5" thickBot="1" x14ac:dyDescent="0.25">
      <c r="A22" s="171"/>
      <c r="B22" s="614">
        <v>7</v>
      </c>
      <c r="C22" s="609">
        <v>156600</v>
      </c>
      <c r="D22" s="609">
        <v>172300</v>
      </c>
      <c r="E22" s="608">
        <f t="shared" si="0"/>
        <v>15700</v>
      </c>
      <c r="F22" s="616">
        <v>188000</v>
      </c>
      <c r="G22" s="608">
        <f t="shared" si="1"/>
        <v>31400</v>
      </c>
      <c r="H22" s="616">
        <v>203600</v>
      </c>
      <c r="I22" s="608">
        <f t="shared" si="2"/>
        <v>47000</v>
      </c>
      <c r="J22" s="616">
        <v>219300</v>
      </c>
      <c r="K22" s="608">
        <f t="shared" si="3"/>
        <v>47000</v>
      </c>
      <c r="L22" s="402">
        <f t="shared" si="4"/>
        <v>15700</v>
      </c>
      <c r="M22" s="609">
        <v>234900</v>
      </c>
      <c r="N22" s="608">
        <f t="shared" si="5"/>
        <v>47000</v>
      </c>
      <c r="O22" s="402">
        <f t="shared" si="6"/>
        <v>31300</v>
      </c>
      <c r="P22" s="609">
        <v>258400</v>
      </c>
      <c r="Q22" s="608">
        <f t="shared" si="7"/>
        <v>47000</v>
      </c>
      <c r="R22" s="402">
        <f t="shared" si="8"/>
        <v>54800</v>
      </c>
      <c r="S22" s="609">
        <v>281900</v>
      </c>
      <c r="T22" s="608">
        <f t="shared" si="9"/>
        <v>47000</v>
      </c>
      <c r="U22" s="403">
        <f t="shared" si="10"/>
        <v>78300</v>
      </c>
      <c r="V22" s="609">
        <v>313200</v>
      </c>
      <c r="W22" s="608">
        <f t="shared" si="11"/>
        <v>47000</v>
      </c>
      <c r="X22" s="402">
        <f t="shared" si="12"/>
        <v>109600</v>
      </c>
      <c r="Y22" s="609">
        <v>352400</v>
      </c>
      <c r="Z22" s="608">
        <f t="shared" si="13"/>
        <v>47000</v>
      </c>
      <c r="AA22" s="402">
        <f t="shared" si="14"/>
        <v>148800</v>
      </c>
    </row>
    <row r="23" spans="1:27" ht="13.5" thickBot="1" x14ac:dyDescent="0.25">
      <c r="A23" s="342"/>
      <c r="B23" s="615">
        <v>8</v>
      </c>
      <c r="C23" s="609">
        <v>169600</v>
      </c>
      <c r="D23" s="609">
        <v>186600</v>
      </c>
      <c r="E23" s="608">
        <f t="shared" si="0"/>
        <v>17000</v>
      </c>
      <c r="F23" s="616">
        <v>203600</v>
      </c>
      <c r="G23" s="608">
        <f t="shared" si="1"/>
        <v>34000</v>
      </c>
      <c r="H23" s="616">
        <v>220500</v>
      </c>
      <c r="I23" s="608">
        <f t="shared" si="2"/>
        <v>50900</v>
      </c>
      <c r="J23" s="616">
        <v>237500</v>
      </c>
      <c r="K23" s="608">
        <f t="shared" si="3"/>
        <v>50900</v>
      </c>
      <c r="L23" s="402">
        <f t="shared" si="4"/>
        <v>17000</v>
      </c>
      <c r="M23" s="609">
        <v>254400</v>
      </c>
      <c r="N23" s="608">
        <f t="shared" si="5"/>
        <v>50900</v>
      </c>
      <c r="O23" s="402">
        <f t="shared" si="6"/>
        <v>33900</v>
      </c>
      <c r="P23" s="609">
        <v>279900</v>
      </c>
      <c r="Q23" s="608">
        <f t="shared" si="7"/>
        <v>50900</v>
      </c>
      <c r="R23" s="402">
        <f t="shared" si="8"/>
        <v>59400</v>
      </c>
      <c r="S23" s="609">
        <v>305300</v>
      </c>
      <c r="T23" s="608">
        <f t="shared" si="9"/>
        <v>50900</v>
      </c>
      <c r="U23" s="403">
        <f t="shared" si="10"/>
        <v>84800</v>
      </c>
      <c r="V23" s="609">
        <v>339200</v>
      </c>
      <c r="W23" s="608">
        <f t="shared" si="11"/>
        <v>50900</v>
      </c>
      <c r="X23" s="402">
        <f t="shared" si="12"/>
        <v>118700</v>
      </c>
      <c r="Y23" s="609">
        <v>381600</v>
      </c>
      <c r="Z23" s="608">
        <f t="shared" si="13"/>
        <v>50900</v>
      </c>
      <c r="AA23" s="402">
        <f t="shared" si="14"/>
        <v>161100</v>
      </c>
    </row>
    <row r="24" spans="1:27" ht="13.5" thickBot="1" x14ac:dyDescent="0.25">
      <c r="A24" s="347"/>
      <c r="B24" s="615">
        <v>9</v>
      </c>
      <c r="C24" s="609">
        <v>183700</v>
      </c>
      <c r="D24" s="609">
        <v>202100</v>
      </c>
      <c r="E24" s="608">
        <f t="shared" si="0"/>
        <v>18400</v>
      </c>
      <c r="F24" s="616">
        <v>220500</v>
      </c>
      <c r="G24" s="608">
        <f t="shared" si="1"/>
        <v>36800</v>
      </c>
      <c r="H24" s="616">
        <v>238900</v>
      </c>
      <c r="I24" s="608">
        <f t="shared" si="2"/>
        <v>55200</v>
      </c>
      <c r="J24" s="616">
        <v>257200</v>
      </c>
      <c r="K24" s="608">
        <f t="shared" si="3"/>
        <v>55200</v>
      </c>
      <c r="L24" s="402">
        <f>J24-H24</f>
        <v>18300</v>
      </c>
      <c r="M24" s="609">
        <v>275600</v>
      </c>
      <c r="N24" s="608">
        <f t="shared" si="5"/>
        <v>55200</v>
      </c>
      <c r="O24" s="402">
        <f t="shared" si="6"/>
        <v>36700</v>
      </c>
      <c r="P24" s="609">
        <v>303200</v>
      </c>
      <c r="Q24" s="608">
        <f t="shared" si="7"/>
        <v>55200</v>
      </c>
      <c r="R24" s="402">
        <f t="shared" si="8"/>
        <v>64300</v>
      </c>
      <c r="S24" s="609">
        <v>330700</v>
      </c>
      <c r="T24" s="608">
        <f t="shared" si="9"/>
        <v>55200</v>
      </c>
      <c r="U24" s="403">
        <f t="shared" si="10"/>
        <v>91800</v>
      </c>
      <c r="V24" s="609">
        <v>367400</v>
      </c>
      <c r="W24" s="608">
        <f t="shared" si="11"/>
        <v>55200</v>
      </c>
      <c r="X24" s="402">
        <f t="shared" si="12"/>
        <v>128500</v>
      </c>
      <c r="Y24" s="609">
        <v>413400</v>
      </c>
      <c r="Z24" s="608">
        <f t="shared" si="13"/>
        <v>55200</v>
      </c>
      <c r="AA24" s="402">
        <f t="shared" si="14"/>
        <v>174500</v>
      </c>
    </row>
    <row r="25" spans="1:27" ht="13.5" thickBot="1" x14ac:dyDescent="0.25"/>
    <row r="26" spans="1:27" ht="13.5" thickBot="1" x14ac:dyDescent="0.25">
      <c r="D26" s="42" t="s">
        <v>26</v>
      </c>
      <c r="E26" s="43"/>
      <c r="F26" s="43"/>
      <c r="G26" s="43"/>
      <c r="H26" s="43"/>
      <c r="I26" s="43"/>
      <c r="J26" s="43"/>
      <c r="K26" s="368"/>
      <c r="L26" s="44"/>
      <c r="M26" s="43" t="s">
        <v>27</v>
      </c>
      <c r="N26" s="43"/>
      <c r="O26" s="43"/>
      <c r="P26" s="367"/>
      <c r="Q26" s="43"/>
      <c r="R26" s="43"/>
      <c r="S26" s="44"/>
      <c r="X26" s="53"/>
    </row>
    <row r="27" spans="1:27" x14ac:dyDescent="0.2">
      <c r="A27" s="19"/>
      <c r="B27" s="19"/>
      <c r="C27" s="24" t="s">
        <v>18</v>
      </c>
      <c r="D27" s="25" t="s">
        <v>19</v>
      </c>
      <c r="E27" s="29" t="s">
        <v>19</v>
      </c>
      <c r="F27" s="29" t="s">
        <v>19</v>
      </c>
      <c r="G27" s="29" t="s">
        <v>19</v>
      </c>
      <c r="H27" s="29" t="s">
        <v>19</v>
      </c>
      <c r="I27" s="29" t="s">
        <v>19</v>
      </c>
      <c r="J27" s="30" t="s">
        <v>19</v>
      </c>
      <c r="K27" s="29" t="s">
        <v>19</v>
      </c>
      <c r="L27" s="26" t="s">
        <v>19</v>
      </c>
      <c r="M27" s="30" t="s">
        <v>19</v>
      </c>
      <c r="N27" s="30" t="s">
        <v>19</v>
      </c>
      <c r="O27" s="30" t="s">
        <v>19</v>
      </c>
      <c r="P27" s="29" t="s">
        <v>19</v>
      </c>
      <c r="Q27" s="29" t="s">
        <v>19</v>
      </c>
      <c r="R27" s="26" t="s">
        <v>19</v>
      </c>
      <c r="S27" s="28"/>
    </row>
    <row r="28" spans="1:27" ht="13.5" thickBot="1" x14ac:dyDescent="0.25">
      <c r="A28" s="33" t="s">
        <v>20</v>
      </c>
      <c r="B28" s="20" t="s">
        <v>21</v>
      </c>
      <c r="C28" s="173" t="s">
        <v>19</v>
      </c>
      <c r="D28" s="371">
        <v>1</v>
      </c>
      <c r="E28" s="182">
        <v>2</v>
      </c>
      <c r="F28" s="182">
        <v>3</v>
      </c>
      <c r="G28" s="182">
        <v>4</v>
      </c>
      <c r="H28" s="182">
        <v>5</v>
      </c>
      <c r="I28" s="182">
        <v>6</v>
      </c>
      <c r="J28" s="182">
        <v>7</v>
      </c>
      <c r="K28" s="180">
        <v>8</v>
      </c>
      <c r="L28" s="178">
        <v>9</v>
      </c>
      <c r="M28" s="267">
        <v>4</v>
      </c>
      <c r="N28" s="266">
        <v>5</v>
      </c>
      <c r="O28" s="266">
        <v>6</v>
      </c>
      <c r="P28" s="267">
        <v>7</v>
      </c>
      <c r="Q28" s="267">
        <v>8</v>
      </c>
      <c r="R28" s="188">
        <v>9</v>
      </c>
      <c r="S28" s="32"/>
      <c r="W28" s="53"/>
    </row>
    <row r="29" spans="1:27" ht="13.5" thickBot="1" x14ac:dyDescent="0.25">
      <c r="A29" s="41" t="s">
        <v>22</v>
      </c>
      <c r="B29" s="269" t="s">
        <v>84</v>
      </c>
      <c r="C29" s="174">
        <f>C4</f>
        <v>59400</v>
      </c>
      <c r="D29" s="181">
        <f>E4</f>
        <v>6000</v>
      </c>
      <c r="E29" s="181">
        <f>G4</f>
        <v>11900</v>
      </c>
      <c r="F29" s="181">
        <f>I4</f>
        <v>17900</v>
      </c>
      <c r="G29" s="181">
        <f>K4</f>
        <v>17900</v>
      </c>
      <c r="H29" s="181">
        <f>N4</f>
        <v>17900</v>
      </c>
      <c r="I29" s="181">
        <f>Q4</f>
        <v>17900</v>
      </c>
      <c r="J29" s="343">
        <f>T4</f>
        <v>17900</v>
      </c>
      <c r="K29" s="181">
        <f>W4</f>
        <v>17900</v>
      </c>
      <c r="L29" s="179">
        <f>Z4</f>
        <v>17900</v>
      </c>
      <c r="M29" s="369">
        <f>L4</f>
        <v>5900</v>
      </c>
      <c r="N29" s="369">
        <f>O4</f>
        <v>11800</v>
      </c>
      <c r="O29" s="370">
        <f>R4</f>
        <v>20800</v>
      </c>
      <c r="P29" s="268">
        <f>U4</f>
        <v>29700</v>
      </c>
      <c r="Q29" s="370">
        <f>X4</f>
        <v>41500</v>
      </c>
      <c r="R29" s="187">
        <f>AA4</f>
        <v>56400</v>
      </c>
      <c r="S29" s="372"/>
    </row>
    <row r="30" spans="1:27" x14ac:dyDescent="0.2">
      <c r="A30" t="s">
        <v>29</v>
      </c>
      <c r="B30" s="361">
        <f>OffScaleCalc!H33</f>
        <v>0</v>
      </c>
      <c r="D30">
        <f>IF(Instr_curr_Scale_off=1,IF(Instr_curr_Step_off&lt;&gt;0,LOOKUP(Instr_curr_Step_off,InstrSteps_off,HST_I1_Off),0),0)</f>
        <v>0</v>
      </c>
      <c r="E30">
        <f>IF(Instr_curr_Scale_off=2,IF(Instr_curr_Step_off&lt;&gt;0,LOOKUP(Instr_curr_Step_off,InstrSteps_off,HST_I2_Off),0),0)</f>
        <v>0</v>
      </c>
      <c r="F30">
        <f>IF(Instr_curr_Scale_off=3,IF(Instr_curr_Step_off&lt;&gt;0,LOOKUP(Instr_curr_Step_off,InstrSteps_off,HST_I3_off),0),0)</f>
        <v>0</v>
      </c>
      <c r="G30">
        <f>IF(Instr_curr_Scale_off=4,IF(Instr_curr_Step_off&lt;&gt;0,LOOKUP(Instr_curr_Step_off,InstrSteps_off,HST_I4_Off),0),0)</f>
        <v>0</v>
      </c>
      <c r="H30">
        <f>IF(Instr_curr_Scale_off=5,IF(Instr_curr_Step_off&lt;&gt;0,LOOKUP(Instr_curr_Step_off,InstrSteps_off,HST_I5_Off),0),0)</f>
        <v>0</v>
      </c>
      <c r="I30">
        <f>IF(Instr_curr_Scale_off=6,IF(Instr_curr_Step_off&lt;&gt;0,LOOKUP(Instr_curr_Step_off,InstrSteps_off,HST_I6_Off),0),0)</f>
        <v>0</v>
      </c>
      <c r="J30">
        <f>IF(Instr_curr_Scale_off=7,IF(Instr_curr_Step_off&lt;&gt;0,LOOKUP(Instr_curr_Step_off,InstrSteps_off,HST_I7_Off),0),0)</f>
        <v>0</v>
      </c>
      <c r="K30">
        <f>IF(Instr_curr_Scale_off=8,IF(Instr_curr_Step_off&lt;&gt;0,LOOKUP(Instr_curr_Step_off,InstrSteps_off,HSR_I4_Off),0),0)</f>
        <v>0</v>
      </c>
      <c r="L30">
        <f>IF(Instr_curr_Scale_off=9,IF(Instr_curr_Step_off&lt;&gt;0,LOOKUP(Instr_curr_Step_off,InstrSteps_off,HSR_I5_Off),0),0)</f>
        <v>0</v>
      </c>
      <c r="M30">
        <f>IF(Instr_curr_Scale_off=4,IF(Instr_curr_Step_off&lt;&gt;0,LOOKUP(Instr_curr_Step_off,InstrSteps_off,HSR_I6_Off),0),0)</f>
        <v>0</v>
      </c>
      <c r="N30">
        <f>IF(Instr_curr_Scale_off=5,IF(Instr_curr_Step_off&lt;&gt;0,LOOKUP(Instr_curr_Step_off,InstrSteps_off,HSR_I7_Off),0),0)</f>
        <v>0</v>
      </c>
      <c r="O30">
        <f>IF(Instr_curr_Scale_off=6,IF(Instr_curr_Step_off&lt;&gt;0,LOOKUP(Instr_curr_Step_off,InstrSteps_off,O29),0),0)</f>
        <v>0</v>
      </c>
      <c r="P30">
        <f>IF(Instr_curr_Scale_off=7,IF(Instr_curr_Step_off&lt;&gt;0,LOOKUP(Instr_curr_Step_off,InstrSteps_off,P29),0),0)</f>
        <v>0</v>
      </c>
      <c r="Q30">
        <f>IF(Instr_curr_Scale_off=8,IF(Instr_curr_Step_off&lt;&gt;0,LOOKUP(Instr_curr_Step_off,InstrSteps_off,Q29),0),0)</f>
        <v>0</v>
      </c>
      <c r="R30">
        <f>IF(Instr_curr_Scale_off=9,IF(Instr_curr_Step_off&lt;&gt;0,LOOKUP(Instr_curr_Step_off,InstrSteps_off,R29),0),0)</f>
        <v>0</v>
      </c>
    </row>
    <row r="31" spans="1:27" x14ac:dyDescent="0.2">
      <c r="A31" t="s">
        <v>82</v>
      </c>
      <c r="B31">
        <f>IF(AND(Associate_Off="",Prof_Off="",Assistant_Off=""),Scale_Off,0)</f>
        <v>0</v>
      </c>
    </row>
    <row r="32" spans="1:27" ht="13.5" thickBot="1" x14ac:dyDescent="0.25">
      <c r="A32" s="45" t="s">
        <v>28</v>
      </c>
      <c r="C32" s="196" t="s">
        <v>2</v>
      </c>
      <c r="D32" s="197">
        <v>1</v>
      </c>
      <c r="E32" s="197">
        <v>2</v>
      </c>
      <c r="F32" s="197">
        <v>3</v>
      </c>
      <c r="G32" s="197">
        <v>4</v>
      </c>
      <c r="H32" s="197">
        <v>5</v>
      </c>
      <c r="I32" s="197">
        <v>6</v>
      </c>
      <c r="J32" s="197">
        <v>7</v>
      </c>
      <c r="K32" s="197">
        <v>8</v>
      </c>
      <c r="L32" s="178">
        <v>9</v>
      </c>
      <c r="M32" s="192">
        <v>4</v>
      </c>
      <c r="N32" s="192">
        <v>5</v>
      </c>
      <c r="O32" s="192">
        <v>6</v>
      </c>
      <c r="P32" s="192">
        <v>7</v>
      </c>
      <c r="Q32" s="192">
        <v>8</v>
      </c>
      <c r="R32" s="186">
        <v>9</v>
      </c>
    </row>
    <row r="33" spans="1:24" x14ac:dyDescent="0.2">
      <c r="A33" s="14" t="s">
        <v>23</v>
      </c>
      <c r="B33" s="21">
        <v>1</v>
      </c>
      <c r="C33" s="175">
        <f t="shared" ref="C33:C38" si="15">C5</f>
        <v>68900</v>
      </c>
      <c r="D33" s="183">
        <f t="shared" ref="D33:D38" si="16">E5</f>
        <v>6900</v>
      </c>
      <c r="E33" s="183">
        <f t="shared" ref="E33:E38" si="17">G5</f>
        <v>13800</v>
      </c>
      <c r="F33" s="183">
        <f t="shared" ref="F33:F38" si="18">I5</f>
        <v>20700</v>
      </c>
      <c r="G33" s="183">
        <f t="shared" ref="G33:G38" si="19">K5</f>
        <v>20700</v>
      </c>
      <c r="H33" s="183">
        <f t="shared" ref="H33:H38" si="20">N5</f>
        <v>20700</v>
      </c>
      <c r="I33" s="183">
        <f t="shared" ref="I33:I38" si="21">Q5</f>
        <v>20700</v>
      </c>
      <c r="J33" s="373">
        <f t="shared" ref="J33:J38" si="22">T5</f>
        <v>20700</v>
      </c>
      <c r="K33" s="183">
        <f t="shared" ref="K33:K38" si="23">W5</f>
        <v>20700</v>
      </c>
      <c r="L33" s="198">
        <f t="shared" ref="L33:L38" si="24">Z5</f>
        <v>20700</v>
      </c>
      <c r="M33" s="376">
        <f t="shared" ref="M33:M38" si="25">L5</f>
        <v>6900</v>
      </c>
      <c r="N33" s="193">
        <f t="shared" ref="N33:N38" si="26">O5</f>
        <v>13800</v>
      </c>
      <c r="O33" s="193">
        <f t="shared" ref="O33:O38" si="27">R5</f>
        <v>24100</v>
      </c>
      <c r="P33" s="193">
        <f t="shared" ref="P33:P38" si="28">U5</f>
        <v>34500</v>
      </c>
      <c r="Q33" s="193">
        <f t="shared" ref="Q33:Q38" si="29">X5</f>
        <v>48200</v>
      </c>
      <c r="R33" s="189">
        <f t="shared" ref="R33:R38" si="30">AA5</f>
        <v>65500</v>
      </c>
      <c r="S33" s="15"/>
    </row>
    <row r="34" spans="1:24" x14ac:dyDescent="0.2">
      <c r="A34" s="16"/>
      <c r="B34" s="22">
        <v>2</v>
      </c>
      <c r="C34" s="176">
        <f t="shared" si="15"/>
        <v>73000</v>
      </c>
      <c r="D34" s="184">
        <f t="shared" si="16"/>
        <v>7300</v>
      </c>
      <c r="E34" s="184">
        <f t="shared" si="17"/>
        <v>14600</v>
      </c>
      <c r="F34" s="184">
        <f t="shared" si="18"/>
        <v>21900</v>
      </c>
      <c r="G34" s="184">
        <f t="shared" si="19"/>
        <v>21900</v>
      </c>
      <c r="H34" s="184">
        <f t="shared" si="20"/>
        <v>21900</v>
      </c>
      <c r="I34" s="184">
        <f t="shared" si="21"/>
        <v>21900</v>
      </c>
      <c r="J34" s="374">
        <f t="shared" si="22"/>
        <v>21900</v>
      </c>
      <c r="K34" s="184">
        <f t="shared" si="23"/>
        <v>21900</v>
      </c>
      <c r="L34" s="200">
        <f t="shared" si="24"/>
        <v>21900</v>
      </c>
      <c r="M34" s="377">
        <f t="shared" si="25"/>
        <v>7300</v>
      </c>
      <c r="N34" s="194">
        <f t="shared" si="26"/>
        <v>14600</v>
      </c>
      <c r="O34" s="194">
        <f t="shared" si="27"/>
        <v>25600</v>
      </c>
      <c r="P34" s="194">
        <f t="shared" si="28"/>
        <v>36500</v>
      </c>
      <c r="Q34" s="194">
        <f t="shared" si="29"/>
        <v>51100</v>
      </c>
      <c r="R34" s="190">
        <f t="shared" si="30"/>
        <v>69400</v>
      </c>
      <c r="S34" s="17"/>
    </row>
    <row r="35" spans="1:24" x14ac:dyDescent="0.2">
      <c r="A35" s="16"/>
      <c r="B35" s="22">
        <v>3</v>
      </c>
      <c r="C35" s="176">
        <f t="shared" si="15"/>
        <v>77000</v>
      </c>
      <c r="D35" s="184">
        <f t="shared" si="16"/>
        <v>7700</v>
      </c>
      <c r="E35" s="184">
        <f t="shared" si="17"/>
        <v>15400</v>
      </c>
      <c r="F35" s="184">
        <f t="shared" si="18"/>
        <v>23100</v>
      </c>
      <c r="G35" s="184">
        <f t="shared" si="19"/>
        <v>23100</v>
      </c>
      <c r="H35" s="184">
        <f t="shared" si="20"/>
        <v>23100</v>
      </c>
      <c r="I35" s="184">
        <f t="shared" si="21"/>
        <v>23100</v>
      </c>
      <c r="J35" s="374">
        <f t="shared" si="22"/>
        <v>23100</v>
      </c>
      <c r="K35" s="184">
        <f t="shared" si="23"/>
        <v>23100</v>
      </c>
      <c r="L35" s="200">
        <f t="shared" si="24"/>
        <v>23100</v>
      </c>
      <c r="M35" s="377">
        <f t="shared" si="25"/>
        <v>7700</v>
      </c>
      <c r="N35" s="194">
        <f t="shared" si="26"/>
        <v>15400</v>
      </c>
      <c r="O35" s="194">
        <f t="shared" si="27"/>
        <v>27000</v>
      </c>
      <c r="P35" s="194">
        <f t="shared" si="28"/>
        <v>38500</v>
      </c>
      <c r="Q35" s="194">
        <f t="shared" si="29"/>
        <v>53900</v>
      </c>
      <c r="R35" s="190">
        <f t="shared" si="30"/>
        <v>73200</v>
      </c>
      <c r="S35" s="17"/>
    </row>
    <row r="36" spans="1:24" x14ac:dyDescent="0.2">
      <c r="A36" s="16"/>
      <c r="B36" s="22">
        <v>4</v>
      </c>
      <c r="C36" s="176">
        <f t="shared" si="15"/>
        <v>81500</v>
      </c>
      <c r="D36" s="184">
        <f t="shared" si="16"/>
        <v>8200</v>
      </c>
      <c r="E36" s="184">
        <f t="shared" si="17"/>
        <v>16300</v>
      </c>
      <c r="F36" s="184">
        <f t="shared" si="18"/>
        <v>24500</v>
      </c>
      <c r="G36" s="184">
        <f t="shared" si="19"/>
        <v>24500</v>
      </c>
      <c r="H36" s="184">
        <f t="shared" si="20"/>
        <v>24500</v>
      </c>
      <c r="I36" s="184">
        <f t="shared" si="21"/>
        <v>24500</v>
      </c>
      <c r="J36" s="374">
        <f t="shared" si="22"/>
        <v>24500</v>
      </c>
      <c r="K36" s="184">
        <f t="shared" si="23"/>
        <v>24500</v>
      </c>
      <c r="L36" s="200">
        <f t="shared" si="24"/>
        <v>24500</v>
      </c>
      <c r="M36" s="377">
        <f t="shared" si="25"/>
        <v>8100</v>
      </c>
      <c r="N36" s="194">
        <f t="shared" si="26"/>
        <v>16300</v>
      </c>
      <c r="O36" s="194">
        <f t="shared" si="27"/>
        <v>28500</v>
      </c>
      <c r="P36" s="194">
        <f t="shared" si="28"/>
        <v>40700</v>
      </c>
      <c r="Q36" s="194">
        <f t="shared" si="29"/>
        <v>57000</v>
      </c>
      <c r="R36" s="190">
        <f t="shared" si="30"/>
        <v>77400</v>
      </c>
      <c r="S36" s="17"/>
      <c r="X36" s="53"/>
    </row>
    <row r="37" spans="1:24" x14ac:dyDescent="0.2">
      <c r="A37" s="16"/>
      <c r="B37" s="22">
        <v>5</v>
      </c>
      <c r="C37" s="176">
        <f t="shared" si="15"/>
        <v>85400</v>
      </c>
      <c r="D37" s="184">
        <f t="shared" si="16"/>
        <v>8600</v>
      </c>
      <c r="E37" s="184">
        <f t="shared" si="17"/>
        <v>17100</v>
      </c>
      <c r="F37" s="184">
        <f t="shared" si="18"/>
        <v>25700</v>
      </c>
      <c r="G37" s="184">
        <f t="shared" si="19"/>
        <v>25700</v>
      </c>
      <c r="H37" s="184">
        <f t="shared" si="20"/>
        <v>25700</v>
      </c>
      <c r="I37" s="184">
        <f t="shared" si="21"/>
        <v>25700</v>
      </c>
      <c r="J37" s="374">
        <f t="shared" si="22"/>
        <v>25700</v>
      </c>
      <c r="K37" s="184">
        <f t="shared" si="23"/>
        <v>25700</v>
      </c>
      <c r="L37" s="200">
        <f t="shared" si="24"/>
        <v>25700</v>
      </c>
      <c r="M37" s="377">
        <f t="shared" si="25"/>
        <v>8500</v>
      </c>
      <c r="N37" s="194">
        <f t="shared" si="26"/>
        <v>17000</v>
      </c>
      <c r="O37" s="194">
        <f t="shared" si="27"/>
        <v>29900</v>
      </c>
      <c r="P37" s="194">
        <f t="shared" si="28"/>
        <v>42700</v>
      </c>
      <c r="Q37" s="194">
        <f t="shared" si="29"/>
        <v>59700</v>
      </c>
      <c r="R37" s="190">
        <f t="shared" si="30"/>
        <v>81100</v>
      </c>
      <c r="S37" s="17"/>
    </row>
    <row r="38" spans="1:24" ht="13.5" thickBot="1" x14ac:dyDescent="0.25">
      <c r="A38" s="18"/>
      <c r="B38" s="23">
        <v>6</v>
      </c>
      <c r="C38" s="177">
        <f t="shared" si="15"/>
        <v>89600</v>
      </c>
      <c r="D38" s="185">
        <f t="shared" si="16"/>
        <v>9000</v>
      </c>
      <c r="E38" s="185">
        <f t="shared" si="17"/>
        <v>18000</v>
      </c>
      <c r="F38" s="185">
        <f t="shared" si="18"/>
        <v>26900</v>
      </c>
      <c r="G38" s="185">
        <f t="shared" si="19"/>
        <v>26900</v>
      </c>
      <c r="H38" s="185">
        <f t="shared" si="20"/>
        <v>26900</v>
      </c>
      <c r="I38" s="185">
        <f t="shared" si="21"/>
        <v>26900</v>
      </c>
      <c r="J38" s="375">
        <f t="shared" si="22"/>
        <v>26900</v>
      </c>
      <c r="K38" s="185">
        <f t="shared" si="23"/>
        <v>26900</v>
      </c>
      <c r="L38" s="202">
        <f t="shared" si="24"/>
        <v>26900</v>
      </c>
      <c r="M38" s="378">
        <f t="shared" si="25"/>
        <v>9000</v>
      </c>
      <c r="N38" s="195">
        <f t="shared" si="26"/>
        <v>17900</v>
      </c>
      <c r="O38" s="195">
        <f t="shared" si="27"/>
        <v>31400</v>
      </c>
      <c r="P38" s="195">
        <f t="shared" si="28"/>
        <v>44800</v>
      </c>
      <c r="Q38" s="195">
        <f t="shared" si="29"/>
        <v>62700</v>
      </c>
      <c r="R38" s="191">
        <f t="shared" si="30"/>
        <v>85100</v>
      </c>
      <c r="S38" s="12"/>
    </row>
    <row r="39" spans="1:24" x14ac:dyDescent="0.2">
      <c r="D39">
        <f>IF(Asst_curr_scale_Off=1,IF(Asst_curr_step_Off&lt;&gt;0,LOOKUP(Asst_curr_step_Off,AsstSteps_Off,HST1_Off),0),0)</f>
        <v>0</v>
      </c>
      <c r="E39">
        <f>IF(Asst_curr_scale_Off=2,IF(Asst_curr_step_Off&lt;&gt;0,LOOKUP(Asst_curr_step_Off,AsstSteps_Off,HST2_Off),0),0)</f>
        <v>0</v>
      </c>
      <c r="F39">
        <f>IF(Asst_curr_scale_Off=3,IF(Asst_curr_step_Off&lt;&gt;0,LOOKUP(Asst_curr_step_Off,AsstSteps_Off,HST3_Off),0),0)</f>
        <v>0</v>
      </c>
      <c r="G39">
        <f>IF(Asst_curr_scale_Off=4,IF(Asst_curr_step_Off&lt;&gt;0,LOOKUP(Asst_curr_step_Off,AsstSteps_Off,HST4_Off),0),0)</f>
        <v>0</v>
      </c>
      <c r="H39">
        <f>IF(Asst_curr_scale_Off=5,IF(Asst_curr_step_Off&lt;&gt;0,LOOKUP(Asst_curr_step_Off,AsstSteps_Off,HST5_Off),0),0)</f>
        <v>0</v>
      </c>
      <c r="I39">
        <f>IF(Asst_curr_scale_Off=6,IF(Asst_curr_step_Off&lt;&gt;0,LOOKUP(Asst_curr_step_Off,AsstSteps_Off,HST6_Off),0),0)</f>
        <v>0</v>
      </c>
      <c r="J39">
        <f>IF(Asst_curr_scale_Off=7,IF(Asst_curr_step_Off&lt;&gt;0,LOOKUP(Asst_curr_step_Off,AsstSteps_Off,HST7_Off),0),0)</f>
        <v>0</v>
      </c>
      <c r="K39">
        <f>IF(Asst_curr_scale_Off=8,IF(Asst_curr_step_Off&lt;&gt;0,LOOKUP(Asst_curr_step_Off,AsstSteps_Off,K33:K38),0),0)</f>
        <v>0</v>
      </c>
      <c r="L39">
        <f>IF(Asst_curr_scale_Off=9,IF(Asst_curr_step_Off&lt;&gt;0,LOOKUP(Asst_curr_step_Off,AsstSteps_Off,L33:L38),0),0)</f>
        <v>0</v>
      </c>
      <c r="M39">
        <f>IF(Asst_curr_scale_Off=4,IF(Asst_curr_step_Off&lt;&gt;0,LOOKUP(Asst_curr_step_Off,AsstSteps_Off,M33:M38),0),0)</f>
        <v>0</v>
      </c>
      <c r="N39">
        <f>IF(Asst_curr_scale_Off=5,IF(Asst_curr_step_Off&lt;&gt;0,LOOKUP(Asst_curr_step_Off,AsstSteps_Off,N33:N38),0),0)</f>
        <v>0</v>
      </c>
      <c r="O39">
        <f>IF(Asst_curr_scale_Off=6,IF(Asst_curr_step_Off&lt;&gt;0,LOOKUP(Asst_curr_step_Off,AsstSteps_Off,O33:O38),0),0)</f>
        <v>0</v>
      </c>
      <c r="P39">
        <f>IF(Asst_curr_scale_Off=7,IF(Asst_curr_step_Off&lt;&gt;0,LOOKUP(Asst_curr_step_Off,AsstSteps_Off,P33:P38),0),0)</f>
        <v>0</v>
      </c>
      <c r="Q39">
        <f>IF(Asst_curr_scale_Off=8,IF(Asst_curr_step_Off&lt;&gt;0,LOOKUP(Asst_curr_step_Off,AsstSteps_Off,Q33:Q38),0),0)</f>
        <v>0</v>
      </c>
      <c r="R39">
        <f>IF(Asst_curr_scale_Off=9,IF(Asst_curr_step_Off&lt;&gt;0,LOOKUP(Asst_curr_step_Off,AsstSteps_Off,R33:R38),0),0)</f>
        <v>0</v>
      </c>
      <c r="X39" s="53"/>
    </row>
    <row r="40" spans="1:24" x14ac:dyDescent="0.2">
      <c r="A40" t="s">
        <v>29</v>
      </c>
      <c r="B40">
        <f>OffScaleCalc!H34</f>
        <v>0</v>
      </c>
    </row>
    <row r="41" spans="1:24" x14ac:dyDescent="0.2">
      <c r="A41" t="s">
        <v>1</v>
      </c>
      <c r="B41">
        <f>IF(AND(Associate_Off="",Prof_Off="",Instructor_Off=""),Scale_Off,0)</f>
        <v>0</v>
      </c>
    </row>
    <row r="44" spans="1:24" ht="13.5" thickBot="1" x14ac:dyDescent="0.25">
      <c r="A44" s="45" t="s">
        <v>28</v>
      </c>
      <c r="C44" s="196" t="s">
        <v>2</v>
      </c>
      <c r="D44" s="197">
        <v>1</v>
      </c>
      <c r="E44" s="197">
        <v>2</v>
      </c>
      <c r="F44" s="197">
        <v>3</v>
      </c>
      <c r="G44" s="197">
        <v>4</v>
      </c>
      <c r="H44" s="197">
        <v>5</v>
      </c>
      <c r="I44" s="197">
        <v>6</v>
      </c>
      <c r="J44" s="197">
        <v>7</v>
      </c>
      <c r="K44" s="197">
        <v>8</v>
      </c>
      <c r="L44" s="178">
        <v>9</v>
      </c>
      <c r="M44" s="192">
        <v>4</v>
      </c>
      <c r="N44" s="192">
        <v>5</v>
      </c>
      <c r="O44" s="192">
        <v>6</v>
      </c>
      <c r="P44" s="192">
        <v>7</v>
      </c>
      <c r="Q44" s="192">
        <v>8</v>
      </c>
      <c r="R44" s="192">
        <v>9</v>
      </c>
    </row>
    <row r="45" spans="1:24" x14ac:dyDescent="0.2">
      <c r="A45" s="14" t="s">
        <v>24</v>
      </c>
      <c r="B45" s="21">
        <v>1</v>
      </c>
      <c r="C45" s="175">
        <f>C11</f>
        <v>85500</v>
      </c>
      <c r="D45" s="183">
        <f>E11</f>
        <v>8600</v>
      </c>
      <c r="E45" s="183">
        <f>G11</f>
        <v>17100</v>
      </c>
      <c r="F45" s="183">
        <f>I11</f>
        <v>25700</v>
      </c>
      <c r="G45" s="183">
        <f>K11</f>
        <v>25700</v>
      </c>
      <c r="H45" s="183">
        <f>N11</f>
        <v>25700</v>
      </c>
      <c r="I45" s="199">
        <f>Q11</f>
        <v>25700</v>
      </c>
      <c r="J45" s="183">
        <f>T11</f>
        <v>25700</v>
      </c>
      <c r="K45" s="183">
        <f>W11</f>
        <v>25700</v>
      </c>
      <c r="L45" s="198">
        <f>Z11</f>
        <v>25700</v>
      </c>
      <c r="M45" s="376">
        <f>L11</f>
        <v>8500</v>
      </c>
      <c r="N45" s="193">
        <f>O11</f>
        <v>17100</v>
      </c>
      <c r="O45" s="193">
        <f>R11</f>
        <v>29900</v>
      </c>
      <c r="P45" s="193">
        <f>U11</f>
        <v>42700</v>
      </c>
      <c r="Q45" s="193">
        <f>X11</f>
        <v>59800</v>
      </c>
      <c r="R45" s="189">
        <f>AA11</f>
        <v>81200</v>
      </c>
      <c r="S45" s="15"/>
    </row>
    <row r="46" spans="1:24" x14ac:dyDescent="0.2">
      <c r="A46" s="16"/>
      <c r="B46" s="22">
        <v>2</v>
      </c>
      <c r="C46" s="176">
        <f>C12</f>
        <v>89700</v>
      </c>
      <c r="D46" s="184">
        <f>E12</f>
        <v>9000</v>
      </c>
      <c r="E46" s="184">
        <f>G12</f>
        <v>18000</v>
      </c>
      <c r="F46" s="184">
        <f>I12</f>
        <v>27000</v>
      </c>
      <c r="G46" s="184">
        <f>K12</f>
        <v>27000</v>
      </c>
      <c r="H46" s="184">
        <f>N12</f>
        <v>27000</v>
      </c>
      <c r="I46" s="201">
        <f>Q12</f>
        <v>27000</v>
      </c>
      <c r="J46" s="184">
        <f>T12</f>
        <v>27000</v>
      </c>
      <c r="K46" s="184">
        <f>W12</f>
        <v>27000</v>
      </c>
      <c r="L46" s="200">
        <f>Z12</f>
        <v>27000</v>
      </c>
      <c r="M46" s="377">
        <f>L12</f>
        <v>8900</v>
      </c>
      <c r="N46" s="194">
        <f>O12</f>
        <v>17900</v>
      </c>
      <c r="O46" s="194">
        <f>R12</f>
        <v>31400</v>
      </c>
      <c r="P46" s="194">
        <f>U12</f>
        <v>44800</v>
      </c>
      <c r="Q46" s="194">
        <f>X12</f>
        <v>62700</v>
      </c>
      <c r="R46" s="190">
        <f>AA12</f>
        <v>85200</v>
      </c>
      <c r="S46" s="17"/>
    </row>
    <row r="47" spans="1:24" x14ac:dyDescent="0.2">
      <c r="A47" s="16"/>
      <c r="B47" s="22">
        <v>3</v>
      </c>
      <c r="C47" s="176">
        <f>C13</f>
        <v>94600</v>
      </c>
      <c r="D47" s="184">
        <f>E13</f>
        <v>9500</v>
      </c>
      <c r="E47" s="184">
        <f>G13</f>
        <v>19000</v>
      </c>
      <c r="F47" s="184">
        <f>I13</f>
        <v>28400</v>
      </c>
      <c r="G47" s="184">
        <f>K13</f>
        <v>28400</v>
      </c>
      <c r="H47" s="184">
        <f>N13</f>
        <v>28400</v>
      </c>
      <c r="I47" s="201">
        <f>Q13</f>
        <v>28400</v>
      </c>
      <c r="J47" s="184">
        <f>T13</f>
        <v>28400</v>
      </c>
      <c r="K47" s="184">
        <f>W13</f>
        <v>28400</v>
      </c>
      <c r="L47" s="200">
        <f>Z13</f>
        <v>28400</v>
      </c>
      <c r="M47" s="377">
        <f>L13</f>
        <v>9500</v>
      </c>
      <c r="N47" s="194">
        <f>O13</f>
        <v>18900</v>
      </c>
      <c r="O47" s="194">
        <f>R13</f>
        <v>33100</v>
      </c>
      <c r="P47" s="194">
        <f>U13</f>
        <v>47300</v>
      </c>
      <c r="Q47" s="194">
        <f>X13</f>
        <v>66200</v>
      </c>
      <c r="R47" s="190">
        <f>AA13</f>
        <v>89900</v>
      </c>
      <c r="S47" s="17"/>
    </row>
    <row r="48" spans="1:24" x14ac:dyDescent="0.2">
      <c r="A48" s="16"/>
      <c r="B48" s="22">
        <v>4</v>
      </c>
      <c r="C48" s="176">
        <f>C14</f>
        <v>100500</v>
      </c>
      <c r="D48" s="184">
        <f>E14</f>
        <v>10100</v>
      </c>
      <c r="E48" s="184">
        <f>G14</f>
        <v>20100</v>
      </c>
      <c r="F48" s="184">
        <f>I14</f>
        <v>30200</v>
      </c>
      <c r="G48" s="184">
        <f>K14</f>
        <v>30200</v>
      </c>
      <c r="H48" s="184">
        <f>N14</f>
        <v>30200</v>
      </c>
      <c r="I48" s="201">
        <f>Q14</f>
        <v>30200</v>
      </c>
      <c r="J48" s="184">
        <f>T14</f>
        <v>30200</v>
      </c>
      <c r="K48" s="184">
        <f>W14</f>
        <v>30200</v>
      </c>
      <c r="L48" s="200">
        <f>Z14</f>
        <v>30200</v>
      </c>
      <c r="M48" s="377">
        <f>L14</f>
        <v>10000</v>
      </c>
      <c r="N48" s="194">
        <f>O14</f>
        <v>20100</v>
      </c>
      <c r="O48" s="194">
        <f>R14</f>
        <v>35200</v>
      </c>
      <c r="P48" s="194">
        <f>U14</f>
        <v>50200</v>
      </c>
      <c r="Q48" s="194">
        <f>X14</f>
        <v>70300</v>
      </c>
      <c r="R48" s="190">
        <f>AA14</f>
        <v>95500</v>
      </c>
      <c r="S48" s="17"/>
    </row>
    <row r="49" spans="1:19" ht="13.5" thickBot="1" x14ac:dyDescent="0.25">
      <c r="A49" s="18"/>
      <c r="B49" s="23">
        <v>5</v>
      </c>
      <c r="C49" s="177">
        <f>C15</f>
        <v>108400</v>
      </c>
      <c r="D49" s="185">
        <f>E15</f>
        <v>10900</v>
      </c>
      <c r="E49" s="185">
        <f>G15</f>
        <v>21700</v>
      </c>
      <c r="F49" s="185">
        <f>I15</f>
        <v>32600</v>
      </c>
      <c r="G49" s="185">
        <f>K15</f>
        <v>32600</v>
      </c>
      <c r="H49" s="185">
        <f>N15</f>
        <v>32600</v>
      </c>
      <c r="I49" s="203">
        <f>Q15</f>
        <v>32600</v>
      </c>
      <c r="J49" s="185">
        <f>T15</f>
        <v>32600</v>
      </c>
      <c r="K49" s="185">
        <f>W15</f>
        <v>32600</v>
      </c>
      <c r="L49" s="202">
        <f>Z15</f>
        <v>32600</v>
      </c>
      <c r="M49" s="378">
        <f>L15</f>
        <v>10800</v>
      </c>
      <c r="N49" s="195">
        <f>O15</f>
        <v>21600</v>
      </c>
      <c r="O49" s="195">
        <f>R15</f>
        <v>37900</v>
      </c>
      <c r="P49" s="195">
        <f>U15</f>
        <v>54200</v>
      </c>
      <c r="Q49" s="195">
        <f>X15</f>
        <v>75800</v>
      </c>
      <c r="R49" s="191">
        <f>AA15</f>
        <v>102900</v>
      </c>
      <c r="S49" s="12"/>
    </row>
    <row r="50" spans="1:19" x14ac:dyDescent="0.2">
      <c r="C50" s="196"/>
      <c r="D50" s="196">
        <f>IF(Assoc_curr_scale_Off=1,IF(Assoc_curr_step_Off&lt;&gt;0,LOOKUP(Assoc_curr_step_Off,AssocSteps_Off,HST1_AP_Off),0),0)</f>
        <v>0</v>
      </c>
      <c r="E50" s="196">
        <f>IF(Assoc_curr_scale_Off=2,IF(Assoc_curr_step_Off&lt;&gt;0,LOOKUP(Assoc_curr_step_Off,AssocSteps_Off,HST2_AP_Off),0),0)</f>
        <v>0</v>
      </c>
      <c r="F50" s="196">
        <f>IF(Assoc_curr_scale_Off=3,IF(Assoc_curr_step_Off&lt;&gt;0,LOOKUP(Assoc_curr_step_Off,AssocSteps_Off,HST3_AP_Off),0),0)</f>
        <v>0</v>
      </c>
      <c r="G50" s="196">
        <f>IF(Assoc_curr_scale_Off=4,IF(Assoc_curr_step_Off&lt;&gt;0,LOOKUP(Assoc_curr_step_Off,AssocSteps_Off,HST4_AP_Off),0),0)</f>
        <v>0</v>
      </c>
      <c r="H50" s="196">
        <f>IF(Assoc_curr_scale_Off=5,IF(Assoc_curr_step_Off&lt;&gt;0,LOOKUP(Assoc_curr_step_Off,AssocSteps_Off,HST5_AP_Off),0),0)</f>
        <v>0</v>
      </c>
      <c r="I50" s="196">
        <f>IF(Assoc_curr_scale_Off=6,IF(Assoc_curr_step_Off&lt;&gt;0,LOOKUP(Assoc_curr_step_Off,AssocSteps_Off,HST6_AP_Off),0),0)</f>
        <v>0</v>
      </c>
      <c r="J50" s="196">
        <f>IF(Assoc_curr_scale_Off=7,IF(Assoc_curr_step_Off&lt;&gt;0,LOOKUP(Assoc_curr_step_Off,AssocSteps_Off,HST7_AP_Off),0),0)</f>
        <v>0</v>
      </c>
      <c r="K50" s="196">
        <f>IF(Assoc_curr_scale_Off=8,IF(Assoc_curr_step_Off&lt;&gt;0,LOOKUP(Assoc_curr_step_Off,AssocSteps_Off,K45:K49),0),0)</f>
        <v>0</v>
      </c>
      <c r="L50" s="196">
        <f>IF(Assoc_curr_scale_Off=9,IF(Assoc_curr_step_Off&lt;&gt;0,LOOKUP(Assoc_curr_step_Off,AssocSteps_Off,L45:L49),0),0)</f>
        <v>0</v>
      </c>
      <c r="M50" s="204">
        <f>IF(Assoc_curr_scale_Off=4,IF(Assoc_curr_step_Off&lt;&gt;0,LOOKUP(Assoc_curr_step_Off,AssocSteps_Off,M45:M49),0),0)</f>
        <v>0</v>
      </c>
      <c r="N50" s="204">
        <f>IF(Assoc_curr_scale_Off=5,IF(Assoc_curr_step_Off&lt;&gt;0,LOOKUP(Assoc_curr_step_Off,AssocSteps_Off,N45:N49),0),0)</f>
        <v>0</v>
      </c>
      <c r="O50" s="204">
        <f>IF(Assoc_curr_scale_Off=6,IF(Assoc_curr_step_Off&lt;&gt;0,LOOKUP(Assoc_curr_step_Off,AssocSteps_Off,O45:O49),0),0)</f>
        <v>0</v>
      </c>
      <c r="P50" s="204">
        <f>IF(Assoc_curr_scale_Off=7,IF(Assoc_curr_step_Off&lt;&gt;0,LOOKUP(Assoc_curr_step_Off,AssocSteps_Off,P45:P49),0),0)</f>
        <v>0</v>
      </c>
      <c r="Q50" s="204">
        <f>IF(Assoc_curr_scale_Off=8,IF(Assoc_curr_step_Off&lt;&gt;0,LOOKUP(Assoc_curr_step_Off,AssocSteps_Off,Q45:Q49),0),0)</f>
        <v>0</v>
      </c>
      <c r="R50" s="204">
        <f>IF(Assoc_curr_scale_Off=9,IF(Assoc_curr_step_Off&lt;&gt;0,LOOKUP(Assoc_curr_step_Off,AssocSteps_Off,R45:R49),0),0)</f>
        <v>0</v>
      </c>
    </row>
    <row r="51" spans="1:19" x14ac:dyDescent="0.2">
      <c r="A51" t="s">
        <v>21</v>
      </c>
      <c r="B51">
        <f>OffScaleCalc!H35</f>
        <v>0</v>
      </c>
    </row>
    <row r="52" spans="1:19" x14ac:dyDescent="0.2">
      <c r="A52" t="s">
        <v>19</v>
      </c>
      <c r="B52">
        <f>IF(AND(Assistant_Off="",Prof_Off="",Instructor_Off=""),Scale_Off,0)</f>
        <v>0</v>
      </c>
    </row>
    <row r="55" spans="1:19" ht="13.5" thickBot="1" x14ac:dyDescent="0.25">
      <c r="A55" s="45" t="s">
        <v>28</v>
      </c>
      <c r="C55" s="196" t="s">
        <v>2</v>
      </c>
      <c r="D55" s="197">
        <v>1</v>
      </c>
      <c r="E55" s="197">
        <v>2</v>
      </c>
      <c r="F55" s="197">
        <v>3</v>
      </c>
      <c r="G55" s="197">
        <v>4</v>
      </c>
      <c r="H55" s="197">
        <v>5</v>
      </c>
      <c r="I55" s="197">
        <v>6</v>
      </c>
      <c r="J55" s="197">
        <v>7</v>
      </c>
      <c r="K55" s="197">
        <v>8</v>
      </c>
      <c r="L55" s="178">
        <v>9</v>
      </c>
      <c r="M55" s="192">
        <v>4</v>
      </c>
      <c r="N55" s="192">
        <v>5</v>
      </c>
      <c r="O55" s="192">
        <v>6</v>
      </c>
      <c r="P55" s="192">
        <v>7</v>
      </c>
      <c r="Q55" s="192">
        <v>8</v>
      </c>
      <c r="R55" s="186">
        <v>9</v>
      </c>
    </row>
    <row r="56" spans="1:19" x14ac:dyDescent="0.2">
      <c r="A56" s="14" t="s">
        <v>25</v>
      </c>
      <c r="B56" s="21">
        <v>1</v>
      </c>
      <c r="C56" s="175">
        <f t="shared" ref="C56:C64" si="31">C16</f>
        <v>100600</v>
      </c>
      <c r="D56" s="183">
        <f>E16</f>
        <v>10100</v>
      </c>
      <c r="E56" s="183">
        <f>G16</f>
        <v>20200</v>
      </c>
      <c r="F56" s="183">
        <f>I16</f>
        <v>30200</v>
      </c>
      <c r="G56" s="183">
        <f>K16</f>
        <v>30200</v>
      </c>
      <c r="H56" s="183">
        <f>N16</f>
        <v>30200</v>
      </c>
      <c r="I56" s="199">
        <f>Q16</f>
        <v>30200</v>
      </c>
      <c r="J56" s="183">
        <f>T16</f>
        <v>30200</v>
      </c>
      <c r="K56" s="183">
        <f>W16</f>
        <v>30200</v>
      </c>
      <c r="L56" s="198">
        <f>Z16</f>
        <v>30200</v>
      </c>
      <c r="M56" s="376">
        <f>L16</f>
        <v>10100</v>
      </c>
      <c r="N56" s="193">
        <f>O16</f>
        <v>20100</v>
      </c>
      <c r="O56" s="193">
        <f>R16</f>
        <v>35200</v>
      </c>
      <c r="P56" s="193">
        <f>U16</f>
        <v>50300</v>
      </c>
      <c r="Q56" s="193">
        <f>X16</f>
        <v>70400</v>
      </c>
      <c r="R56" s="189">
        <f>AA16</f>
        <v>95600</v>
      </c>
      <c r="S56" s="15"/>
    </row>
    <row r="57" spans="1:19" x14ac:dyDescent="0.2">
      <c r="A57" s="16"/>
      <c r="B57" s="22">
        <v>2</v>
      </c>
      <c r="C57" s="176">
        <f t="shared" si="31"/>
        <v>108500</v>
      </c>
      <c r="D57" s="184">
        <f t="shared" ref="D57:D64" si="32">E17</f>
        <v>10900</v>
      </c>
      <c r="E57" s="184">
        <f t="shared" ref="E57:E63" si="33">G17</f>
        <v>21700</v>
      </c>
      <c r="F57" s="184">
        <f t="shared" ref="F57:F63" si="34">I17</f>
        <v>32600</v>
      </c>
      <c r="G57" s="184">
        <f t="shared" ref="G57:G63" si="35">K17</f>
        <v>32600</v>
      </c>
      <c r="H57" s="184">
        <f t="shared" ref="H57:H63" si="36">N17</f>
        <v>32600</v>
      </c>
      <c r="I57" s="201">
        <f t="shared" ref="I57:I63" si="37">Q17</f>
        <v>32600</v>
      </c>
      <c r="J57" s="184">
        <f t="shared" ref="J57:J63" si="38">T17</f>
        <v>32600</v>
      </c>
      <c r="K57" s="184">
        <f t="shared" ref="K57:K64" si="39">W17</f>
        <v>32600</v>
      </c>
      <c r="L57" s="200">
        <f t="shared" ref="L57:L64" si="40">Z17</f>
        <v>32600</v>
      </c>
      <c r="M57" s="377">
        <f t="shared" ref="M57:M64" si="41">L17</f>
        <v>10800</v>
      </c>
      <c r="N57" s="194">
        <f t="shared" ref="N57:N64" si="42">O17</f>
        <v>21700</v>
      </c>
      <c r="O57" s="194">
        <f t="shared" ref="O57:O64" si="43">R17</f>
        <v>38000</v>
      </c>
      <c r="P57" s="194">
        <f t="shared" ref="P57:P64" si="44">U17</f>
        <v>54200</v>
      </c>
      <c r="Q57" s="194">
        <f t="shared" ref="Q57:Q64" si="45">X17</f>
        <v>75900</v>
      </c>
      <c r="R57" s="190">
        <f t="shared" ref="R57:R64" si="46">AA17</f>
        <v>103100</v>
      </c>
      <c r="S57" s="17"/>
    </row>
    <row r="58" spans="1:19" x14ac:dyDescent="0.2">
      <c r="A58" s="16"/>
      <c r="B58" s="22">
        <v>3</v>
      </c>
      <c r="C58" s="176">
        <f t="shared" si="31"/>
        <v>116300</v>
      </c>
      <c r="D58" s="184">
        <f t="shared" si="32"/>
        <v>11700</v>
      </c>
      <c r="E58" s="184">
        <f t="shared" si="33"/>
        <v>23300</v>
      </c>
      <c r="F58" s="184">
        <f t="shared" si="34"/>
        <v>34900</v>
      </c>
      <c r="G58" s="184">
        <f t="shared" si="35"/>
        <v>34900</v>
      </c>
      <c r="H58" s="184">
        <f t="shared" si="36"/>
        <v>34900</v>
      </c>
      <c r="I58" s="201">
        <f t="shared" si="37"/>
        <v>34900</v>
      </c>
      <c r="J58" s="184">
        <f t="shared" si="38"/>
        <v>34900</v>
      </c>
      <c r="K58" s="184">
        <f t="shared" si="39"/>
        <v>34900</v>
      </c>
      <c r="L58" s="200">
        <f t="shared" si="40"/>
        <v>34900</v>
      </c>
      <c r="M58" s="377">
        <f t="shared" si="41"/>
        <v>11700</v>
      </c>
      <c r="N58" s="194">
        <f t="shared" si="42"/>
        <v>23300</v>
      </c>
      <c r="O58" s="194">
        <f t="shared" si="43"/>
        <v>40700</v>
      </c>
      <c r="P58" s="194">
        <f t="shared" si="44"/>
        <v>58200</v>
      </c>
      <c r="Q58" s="194">
        <f t="shared" si="45"/>
        <v>81400</v>
      </c>
      <c r="R58" s="190">
        <f t="shared" si="46"/>
        <v>110500</v>
      </c>
      <c r="S58" s="17"/>
    </row>
    <row r="59" spans="1:19" x14ac:dyDescent="0.2">
      <c r="A59" s="16"/>
      <c r="B59" s="22">
        <v>4</v>
      </c>
      <c r="C59" s="176">
        <f t="shared" si="31"/>
        <v>124700</v>
      </c>
      <c r="D59" s="184">
        <f t="shared" si="32"/>
        <v>12500</v>
      </c>
      <c r="E59" s="184">
        <f t="shared" si="33"/>
        <v>25000</v>
      </c>
      <c r="F59" s="184">
        <f t="shared" si="34"/>
        <v>37500</v>
      </c>
      <c r="G59" s="184">
        <f t="shared" si="35"/>
        <v>37500</v>
      </c>
      <c r="H59" s="184">
        <f t="shared" si="36"/>
        <v>37500</v>
      </c>
      <c r="I59" s="201">
        <f t="shared" si="37"/>
        <v>37500</v>
      </c>
      <c r="J59" s="184">
        <f t="shared" si="38"/>
        <v>37500</v>
      </c>
      <c r="K59" s="184">
        <f t="shared" si="39"/>
        <v>37500</v>
      </c>
      <c r="L59" s="200">
        <f t="shared" si="40"/>
        <v>37500</v>
      </c>
      <c r="M59" s="377">
        <f t="shared" si="41"/>
        <v>12400</v>
      </c>
      <c r="N59" s="194">
        <f t="shared" si="42"/>
        <v>24900</v>
      </c>
      <c r="O59" s="194">
        <f t="shared" si="43"/>
        <v>43600</v>
      </c>
      <c r="P59" s="194">
        <f t="shared" si="44"/>
        <v>62300</v>
      </c>
      <c r="Q59" s="194">
        <f t="shared" si="45"/>
        <v>87200</v>
      </c>
      <c r="R59" s="190">
        <f t="shared" si="46"/>
        <v>118400</v>
      </c>
      <c r="S59" s="17"/>
    </row>
    <row r="60" spans="1:19" x14ac:dyDescent="0.2">
      <c r="A60" s="16"/>
      <c r="B60" s="22">
        <v>5</v>
      </c>
      <c r="C60" s="176">
        <f t="shared" si="31"/>
        <v>133600</v>
      </c>
      <c r="D60" s="184">
        <f t="shared" si="32"/>
        <v>13400</v>
      </c>
      <c r="E60" s="184">
        <f t="shared" si="33"/>
        <v>26800</v>
      </c>
      <c r="F60" s="184">
        <f t="shared" si="34"/>
        <v>40100</v>
      </c>
      <c r="G60" s="184">
        <f t="shared" si="35"/>
        <v>40100</v>
      </c>
      <c r="H60" s="184">
        <f t="shared" si="36"/>
        <v>40100</v>
      </c>
      <c r="I60" s="201">
        <f t="shared" si="37"/>
        <v>40100</v>
      </c>
      <c r="J60" s="184">
        <f t="shared" si="38"/>
        <v>40100</v>
      </c>
      <c r="K60" s="184">
        <f t="shared" si="39"/>
        <v>40100</v>
      </c>
      <c r="L60" s="200">
        <f t="shared" si="40"/>
        <v>40100</v>
      </c>
      <c r="M60" s="377">
        <f t="shared" si="41"/>
        <v>13400</v>
      </c>
      <c r="N60" s="194">
        <f t="shared" si="42"/>
        <v>26700</v>
      </c>
      <c r="O60" s="194">
        <f t="shared" si="43"/>
        <v>46800</v>
      </c>
      <c r="P60" s="194">
        <f t="shared" si="44"/>
        <v>66800</v>
      </c>
      <c r="Q60" s="194">
        <f t="shared" si="45"/>
        <v>93500</v>
      </c>
      <c r="R60" s="190">
        <f t="shared" si="46"/>
        <v>126900</v>
      </c>
      <c r="S60" s="17"/>
    </row>
    <row r="61" spans="1:19" x14ac:dyDescent="0.2">
      <c r="A61" s="16"/>
      <c r="B61" s="22">
        <v>6</v>
      </c>
      <c r="C61" s="176">
        <f t="shared" si="31"/>
        <v>144700</v>
      </c>
      <c r="D61" s="184">
        <f t="shared" si="32"/>
        <v>14500</v>
      </c>
      <c r="E61" s="184">
        <f t="shared" si="33"/>
        <v>29000</v>
      </c>
      <c r="F61" s="184">
        <f t="shared" si="34"/>
        <v>43500</v>
      </c>
      <c r="G61" s="184">
        <f t="shared" si="35"/>
        <v>43500</v>
      </c>
      <c r="H61" s="184">
        <f t="shared" si="36"/>
        <v>43500</v>
      </c>
      <c r="I61" s="201">
        <f t="shared" si="37"/>
        <v>43500</v>
      </c>
      <c r="J61" s="184">
        <f t="shared" si="38"/>
        <v>43500</v>
      </c>
      <c r="K61" s="184">
        <f t="shared" si="39"/>
        <v>43500</v>
      </c>
      <c r="L61" s="200">
        <f t="shared" si="40"/>
        <v>43500</v>
      </c>
      <c r="M61" s="377">
        <f t="shared" si="41"/>
        <v>14400</v>
      </c>
      <c r="N61" s="194">
        <f t="shared" si="42"/>
        <v>28900</v>
      </c>
      <c r="O61" s="194">
        <f t="shared" si="43"/>
        <v>50600</v>
      </c>
      <c r="P61" s="194">
        <f t="shared" si="44"/>
        <v>72300</v>
      </c>
      <c r="Q61" s="194">
        <f t="shared" si="45"/>
        <v>101200</v>
      </c>
      <c r="R61" s="190">
        <f t="shared" si="46"/>
        <v>137400</v>
      </c>
      <c r="S61" s="17"/>
    </row>
    <row r="62" spans="1:19" x14ac:dyDescent="0.2">
      <c r="A62" s="16"/>
      <c r="B62" s="22">
        <v>7</v>
      </c>
      <c r="C62" s="176">
        <f t="shared" si="31"/>
        <v>156600</v>
      </c>
      <c r="D62" s="184">
        <f t="shared" si="32"/>
        <v>15700</v>
      </c>
      <c r="E62" s="184">
        <f t="shared" si="33"/>
        <v>31400</v>
      </c>
      <c r="F62" s="184">
        <f t="shared" si="34"/>
        <v>47000</v>
      </c>
      <c r="G62" s="184">
        <f t="shared" si="35"/>
        <v>47000</v>
      </c>
      <c r="H62" s="184">
        <f t="shared" si="36"/>
        <v>47000</v>
      </c>
      <c r="I62" s="201">
        <f t="shared" si="37"/>
        <v>47000</v>
      </c>
      <c r="J62" s="184">
        <f t="shared" si="38"/>
        <v>47000</v>
      </c>
      <c r="K62" s="184">
        <f t="shared" si="39"/>
        <v>47000</v>
      </c>
      <c r="L62" s="200">
        <f t="shared" si="40"/>
        <v>47000</v>
      </c>
      <c r="M62" s="377">
        <f t="shared" si="41"/>
        <v>15700</v>
      </c>
      <c r="N62" s="194">
        <f t="shared" si="42"/>
        <v>31300</v>
      </c>
      <c r="O62" s="194">
        <f t="shared" si="43"/>
        <v>54800</v>
      </c>
      <c r="P62" s="194">
        <f t="shared" si="44"/>
        <v>78300</v>
      </c>
      <c r="Q62" s="194">
        <f t="shared" si="45"/>
        <v>109600</v>
      </c>
      <c r="R62" s="190">
        <f t="shared" si="46"/>
        <v>148800</v>
      </c>
      <c r="S62" s="17"/>
    </row>
    <row r="63" spans="1:19" ht="13.5" thickBot="1" x14ac:dyDescent="0.25">
      <c r="A63" s="345"/>
      <c r="B63" s="22">
        <v>8</v>
      </c>
      <c r="C63" s="176">
        <f t="shared" si="31"/>
        <v>169600</v>
      </c>
      <c r="D63" s="184">
        <f t="shared" si="32"/>
        <v>17000</v>
      </c>
      <c r="E63" s="184">
        <f t="shared" si="33"/>
        <v>34000</v>
      </c>
      <c r="F63" s="184">
        <f t="shared" si="34"/>
        <v>50900</v>
      </c>
      <c r="G63" s="184">
        <f t="shared" si="35"/>
        <v>50900</v>
      </c>
      <c r="H63" s="184">
        <f t="shared" si="36"/>
        <v>50900</v>
      </c>
      <c r="I63" s="201">
        <f t="shared" si="37"/>
        <v>50900</v>
      </c>
      <c r="J63" s="184">
        <f t="shared" si="38"/>
        <v>50900</v>
      </c>
      <c r="K63" s="184">
        <f t="shared" si="39"/>
        <v>50900</v>
      </c>
      <c r="L63" s="200">
        <f t="shared" si="40"/>
        <v>50900</v>
      </c>
      <c r="M63" s="377">
        <f t="shared" si="41"/>
        <v>17000</v>
      </c>
      <c r="N63" s="194">
        <f t="shared" si="42"/>
        <v>33900</v>
      </c>
      <c r="O63" s="194">
        <f t="shared" si="43"/>
        <v>59400</v>
      </c>
      <c r="P63" s="194">
        <f t="shared" si="44"/>
        <v>84800</v>
      </c>
      <c r="Q63" s="194">
        <f t="shared" si="45"/>
        <v>118700</v>
      </c>
      <c r="R63" s="190">
        <f t="shared" si="46"/>
        <v>161100</v>
      </c>
      <c r="S63" s="12"/>
    </row>
    <row r="64" spans="1:19" ht="13.5" thickBot="1" x14ac:dyDescent="0.25">
      <c r="A64" s="350"/>
      <c r="B64" s="346">
        <v>9</v>
      </c>
      <c r="C64" s="347">
        <f t="shared" si="31"/>
        <v>183700</v>
      </c>
      <c r="D64" s="348">
        <f t="shared" si="32"/>
        <v>18400</v>
      </c>
      <c r="E64" s="348">
        <f>G24</f>
        <v>36800</v>
      </c>
      <c r="F64" s="348">
        <f>I24</f>
        <v>55200</v>
      </c>
      <c r="G64" s="348">
        <f>K24</f>
        <v>55200</v>
      </c>
      <c r="H64" s="348">
        <f>N24</f>
        <v>55200</v>
      </c>
      <c r="I64" s="349">
        <f>Q24</f>
        <v>55200</v>
      </c>
      <c r="J64" s="185">
        <f>T24</f>
        <v>55200</v>
      </c>
      <c r="K64" s="185">
        <f t="shared" si="39"/>
        <v>55200</v>
      </c>
      <c r="L64" s="202">
        <f t="shared" si="40"/>
        <v>55200</v>
      </c>
      <c r="M64" s="378">
        <f t="shared" si="41"/>
        <v>18300</v>
      </c>
      <c r="N64" s="195">
        <f t="shared" si="42"/>
        <v>36700</v>
      </c>
      <c r="O64" s="195">
        <f t="shared" si="43"/>
        <v>64300</v>
      </c>
      <c r="P64" s="195">
        <f t="shared" si="44"/>
        <v>91800</v>
      </c>
      <c r="Q64" s="195">
        <f t="shared" si="45"/>
        <v>128500</v>
      </c>
      <c r="R64" s="191">
        <f t="shared" si="46"/>
        <v>174500</v>
      </c>
      <c r="S64" s="34"/>
    </row>
    <row r="65" spans="1:18" x14ac:dyDescent="0.2">
      <c r="D65">
        <f>IF(Prof_curr_scale_Off=1,IF(Prof_curr_step_Off&lt;&gt;0,LOOKUP(Prof_curr_step_Off,ProfSteps_Off,HST1_P_Off),0),0)</f>
        <v>0</v>
      </c>
      <c r="E65">
        <f>IF(Prof_curr_scale_Off=2,IF(Prof_curr_step_Off&lt;&gt;0,LOOKUP(Prof_curr_step_Off,ProfSteps_Off,HST2_P_Off),0),0)</f>
        <v>0</v>
      </c>
      <c r="F65">
        <f>IF(Prof_curr_scale_Off=3,IF(Prof_curr_step_Off&lt;&gt;0,LOOKUP(Prof_curr_step_Off,ProfSteps_Off,HST3_P_Off),0),0)</f>
        <v>0</v>
      </c>
      <c r="G65">
        <f>IF(Prof_curr_scale_Off=4,IF(Prof_curr_step_Off&lt;&gt;0,LOOKUP(Prof_curr_step_Off,ProfSteps_Off,HST4_P_Off),0),0)</f>
        <v>0</v>
      </c>
      <c r="H65">
        <f>IF(Prof_curr_scale_Off=5,IF(Prof_curr_step_Off&lt;&gt;0,LOOKUP(Prof_curr_step_Off,ProfSteps_Off,HST5_P_Off),0),0)</f>
        <v>0</v>
      </c>
      <c r="I65">
        <f>IF(Prof_curr_scale_Off=6,IF(Prof_curr_step_Off&lt;&gt;0,LOOKUP(Prof_curr_step_Off,ProfSteps_Off,HST6_P_Off),0),0)</f>
        <v>0</v>
      </c>
      <c r="J65">
        <f>IF(Prof_curr_scale_Off=7,IF(Prof_curr_step_Off&lt;&gt;0,LOOKUP(Prof_curr_step_Off,ProfSteps_Off,HST7_P_Off),0),0)</f>
        <v>0</v>
      </c>
      <c r="K65">
        <f>IF(Prof_curr_scale_Off=8,IF(Prof_curr_step_Off&lt;&gt;0,LOOKUP(Prof_curr_step_Off,ProfSteps_Off,K56:K64),0),0)</f>
        <v>0</v>
      </c>
      <c r="L65">
        <f>IF(Prof_curr_scale_Off=9,IF(Prof_curr_step_Off&lt;&gt;0,LOOKUP(Prof_curr_step_Off,ProfSteps_Off,L56:L64),0),0)</f>
        <v>0</v>
      </c>
      <c r="M65">
        <f>IF(Prof_curr_scale_Off=4,IF(Prof_curr_step_Off&lt;&gt;0,LOOKUP(Prof_curr_step_Off,ProfSteps_Off,M56:M64),0),0)</f>
        <v>0</v>
      </c>
      <c r="N65">
        <f>IF(Prof_curr_scale_Off=5,IF(Prof_curr_step_Off&lt;&gt;0,LOOKUP(Prof_curr_step_Off,ProfSteps_Off,N56:N64),0),0)</f>
        <v>0</v>
      </c>
      <c r="O65">
        <f>IF(Prof_curr_scale_Off=6,IF(Prof_curr_step_Off&lt;&gt;0,LOOKUP(Prof_curr_step_Off,ProfSteps_Off,O56:O64),0),0)</f>
        <v>0</v>
      </c>
      <c r="P65">
        <f>IF(Prof_curr_scale_Off=7,IF(Prof_curr_step_Off&lt;&gt;0,LOOKUP(Prof_curr_step_Off,ProfSteps_Off,P56:P64),0),0)</f>
        <v>0</v>
      </c>
      <c r="Q65">
        <f>IF(Prof_curr_scale_Off=8,IF(Prof_curr_step_Off&lt;&gt;0,LOOKUP(Prof_curr_step_Off,ProfSteps_Off,Q56:Q64),0),0)</f>
        <v>0</v>
      </c>
      <c r="R65">
        <f>IF(Prof_curr_scale_Off=9,IF(Prof_curr_step_Off&lt;&gt;0,LOOKUP(Prof_curr_step_Off,ProfSteps_Off,R56:R64),0),0)</f>
        <v>0</v>
      </c>
    </row>
    <row r="66" spans="1:18" x14ac:dyDescent="0.2">
      <c r="A66" t="s">
        <v>21</v>
      </c>
      <c r="B66">
        <f>OffScaleCalc!H36</f>
        <v>0</v>
      </c>
    </row>
    <row r="67" spans="1:18" x14ac:dyDescent="0.2">
      <c r="A67" t="s">
        <v>19</v>
      </c>
      <c r="B67">
        <f>IF(AND(Assistant_Off="",Associate_Off="",Instructor_Off=""),Scale_Off,0)</f>
        <v>0</v>
      </c>
    </row>
  </sheetData>
  <sheetProtection password="F4FD" sheet="1" objects="1" scenarios="1"/>
  <phoneticPr fontId="0" type="noConversion"/>
  <pageMargins left="0.25" right="0.25" top="1" bottom="1" header="0.5" footer="0.5"/>
  <pageSetup orientation="landscape" horizontalDpi="4294967292"/>
  <headerFooter>
    <oddHeader>&amp;CHSCP SALARY SCALES - ANNUAL_x000D_Effective October 1, 2006</oddHeader>
    <oddFooter>&amp;Lsalscl_oct06.xls</oddFooter>
  </headerFooter>
  <colBreaks count="1" manualBreakCount="1">
    <brk id="15" min="1" max="23" man="1"/>
  </colBreak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5"/>
  <sheetViews>
    <sheetView topLeftCell="A13" zoomScale="125" zoomScaleNormal="125" zoomScalePageLayoutView="125" workbookViewId="0">
      <selection activeCell="B1" sqref="B1:G25"/>
    </sheetView>
  </sheetViews>
  <sheetFormatPr defaultColWidth="11.42578125" defaultRowHeight="12.75" x14ac:dyDescent="0.2"/>
  <cols>
    <col min="2" max="2" width="19.42578125" customWidth="1"/>
    <col min="3" max="3" width="24.42578125" customWidth="1"/>
    <col min="4" max="4" width="21.85546875" customWidth="1"/>
    <col min="5" max="5" width="22.42578125" customWidth="1"/>
    <col min="6" max="6" width="23" customWidth="1"/>
    <col min="7" max="7" width="24.28515625" customWidth="1"/>
  </cols>
  <sheetData>
    <row r="1" spans="2:7" ht="14.1" customHeight="1" x14ac:dyDescent="0.2">
      <c r="B1" s="433"/>
      <c r="C1" s="433"/>
      <c r="D1" s="433"/>
      <c r="E1" s="433"/>
    </row>
    <row r="2" spans="2:7" ht="59.1" customHeight="1" x14ac:dyDescent="0.25">
      <c r="B2" s="749" t="s">
        <v>146</v>
      </c>
      <c r="C2" s="749"/>
      <c r="D2" s="749"/>
      <c r="E2" s="749"/>
      <c r="F2" s="749"/>
    </row>
    <row r="3" spans="2:7" ht="13.5" thickBot="1" x14ac:dyDescent="0.25"/>
    <row r="4" spans="2:7" ht="48" thickBot="1" x14ac:dyDescent="0.25">
      <c r="B4" s="434" t="s">
        <v>147</v>
      </c>
      <c r="C4" s="435" t="s">
        <v>148</v>
      </c>
      <c r="D4" s="435" t="s">
        <v>149</v>
      </c>
      <c r="E4" s="435" t="s">
        <v>150</v>
      </c>
      <c r="F4" s="435" t="s">
        <v>151</v>
      </c>
      <c r="G4" s="436" t="s">
        <v>152</v>
      </c>
    </row>
    <row r="5" spans="2:7" ht="63.75" thickBot="1" x14ac:dyDescent="0.25">
      <c r="B5" s="437" t="s">
        <v>153</v>
      </c>
      <c r="C5" s="438" t="s">
        <v>154</v>
      </c>
      <c r="D5" s="439">
        <v>199700</v>
      </c>
      <c r="E5" s="438" t="s">
        <v>155</v>
      </c>
      <c r="F5" s="438" t="s">
        <v>156</v>
      </c>
      <c r="G5" s="440" t="s">
        <v>157</v>
      </c>
    </row>
    <row r="6" spans="2:7" ht="23.1" customHeight="1" x14ac:dyDescent="0.2">
      <c r="B6" s="753" t="s">
        <v>158</v>
      </c>
      <c r="C6" s="753" t="s">
        <v>159</v>
      </c>
      <c r="D6" s="441" t="s">
        <v>160</v>
      </c>
      <c r="E6" s="753" t="s">
        <v>162</v>
      </c>
      <c r="F6" s="753" t="s">
        <v>163</v>
      </c>
      <c r="G6" s="753" t="s">
        <v>157</v>
      </c>
    </row>
    <row r="7" spans="2:7" ht="48" thickBot="1" x14ac:dyDescent="0.25">
      <c r="B7" s="754"/>
      <c r="C7" s="754"/>
      <c r="D7" s="438" t="s">
        <v>161</v>
      </c>
      <c r="E7" s="754"/>
      <c r="F7" s="754"/>
      <c r="G7" s="754"/>
    </row>
    <row r="8" spans="2:7" ht="33" customHeight="1" x14ac:dyDescent="0.2">
      <c r="B8" s="753" t="s">
        <v>158</v>
      </c>
      <c r="C8" s="753" t="s">
        <v>164</v>
      </c>
      <c r="D8" s="441" t="s">
        <v>160</v>
      </c>
      <c r="E8" s="753" t="s">
        <v>166</v>
      </c>
      <c r="F8" s="753" t="s">
        <v>163</v>
      </c>
      <c r="G8" s="753" t="s">
        <v>157</v>
      </c>
    </row>
    <row r="9" spans="2:7" ht="48" thickBot="1" x14ac:dyDescent="0.25">
      <c r="B9" s="754"/>
      <c r="C9" s="754"/>
      <c r="D9" s="438" t="s">
        <v>165</v>
      </c>
      <c r="E9" s="754"/>
      <c r="F9" s="754"/>
      <c r="G9" s="754"/>
    </row>
    <row r="10" spans="2:7" ht="32.25" thickBot="1" x14ac:dyDescent="0.25">
      <c r="B10" s="437" t="s">
        <v>207</v>
      </c>
      <c r="C10" s="438" t="s">
        <v>159</v>
      </c>
      <c r="D10" s="439">
        <v>179700</v>
      </c>
      <c r="E10" s="438" t="s">
        <v>167</v>
      </c>
      <c r="F10" s="438" t="s">
        <v>168</v>
      </c>
      <c r="G10" s="438" t="s">
        <v>157</v>
      </c>
    </row>
    <row r="11" spans="2:7" ht="63.75" thickBot="1" x14ac:dyDescent="0.25">
      <c r="B11" s="607" t="s">
        <v>207</v>
      </c>
      <c r="C11" s="438" t="s">
        <v>164</v>
      </c>
      <c r="D11" s="439">
        <v>179700</v>
      </c>
      <c r="E11" s="438" t="s">
        <v>166</v>
      </c>
      <c r="F11" s="438" t="s">
        <v>168</v>
      </c>
      <c r="G11" s="438" t="s">
        <v>157</v>
      </c>
    </row>
    <row r="12" spans="2:7" ht="63.75" thickBot="1" x14ac:dyDescent="0.25">
      <c r="B12" s="607" t="s">
        <v>208</v>
      </c>
      <c r="C12" s="438" t="s">
        <v>159</v>
      </c>
      <c r="D12" s="439">
        <v>181500</v>
      </c>
      <c r="E12" s="438" t="s">
        <v>166</v>
      </c>
      <c r="F12" s="438" t="s">
        <v>206</v>
      </c>
      <c r="G12" s="438" t="s">
        <v>157</v>
      </c>
    </row>
    <row r="13" spans="2:7" ht="63.75" thickBot="1" x14ac:dyDescent="0.25">
      <c r="B13" s="437" t="s">
        <v>208</v>
      </c>
      <c r="C13" s="438" t="s">
        <v>164</v>
      </c>
      <c r="D13" s="439">
        <v>181500</v>
      </c>
      <c r="E13" s="438" t="s">
        <v>166</v>
      </c>
      <c r="F13" s="438" t="s">
        <v>206</v>
      </c>
      <c r="G13" s="438" t="s">
        <v>157</v>
      </c>
    </row>
    <row r="14" spans="2:7" ht="63.75" thickBot="1" x14ac:dyDescent="0.25">
      <c r="B14" s="617" t="s">
        <v>212</v>
      </c>
      <c r="C14" s="438" t="s">
        <v>159</v>
      </c>
      <c r="D14" s="439">
        <v>183300</v>
      </c>
      <c r="E14" s="438" t="s">
        <v>166</v>
      </c>
      <c r="F14" s="438" t="s">
        <v>213</v>
      </c>
      <c r="G14" s="438" t="s">
        <v>157</v>
      </c>
    </row>
    <row r="15" spans="2:7" ht="63.75" thickBot="1" x14ac:dyDescent="0.25">
      <c r="B15" s="617" t="s">
        <v>212</v>
      </c>
      <c r="C15" s="438" t="s">
        <v>164</v>
      </c>
      <c r="D15" s="439">
        <v>183300</v>
      </c>
      <c r="E15" s="438" t="s">
        <v>166</v>
      </c>
      <c r="F15" s="438" t="s">
        <v>213</v>
      </c>
      <c r="G15" s="438" t="s">
        <v>157</v>
      </c>
    </row>
    <row r="18" spans="2:7" ht="23.1" customHeight="1" x14ac:dyDescent="0.2">
      <c r="B18" s="750" t="s">
        <v>169</v>
      </c>
      <c r="C18" s="750"/>
      <c r="D18" s="750"/>
      <c r="E18" s="750"/>
      <c r="F18" s="750"/>
      <c r="G18" s="750"/>
    </row>
    <row r="19" spans="2:7" ht="18.95" customHeight="1" x14ac:dyDescent="0.2">
      <c r="B19" s="751" t="s">
        <v>170</v>
      </c>
      <c r="C19" s="751"/>
      <c r="D19" s="751"/>
      <c r="E19" s="751"/>
      <c r="F19" s="751"/>
      <c r="G19" s="751"/>
    </row>
    <row r="21" spans="2:7" x14ac:dyDescent="0.2">
      <c r="B21" s="752" t="s">
        <v>171</v>
      </c>
      <c r="C21" s="752"/>
      <c r="D21" s="752"/>
      <c r="E21" s="752"/>
      <c r="F21" s="752"/>
    </row>
    <row r="22" spans="2:7" x14ac:dyDescent="0.2">
      <c r="B22" s="251" t="s">
        <v>172</v>
      </c>
      <c r="C22" s="432"/>
      <c r="D22" s="432"/>
      <c r="E22" s="432"/>
      <c r="F22" s="432"/>
    </row>
    <row r="23" spans="2:7" x14ac:dyDescent="0.2">
      <c r="B23" s="251" t="s">
        <v>173</v>
      </c>
    </row>
    <row r="25" spans="2:7" x14ac:dyDescent="0.2">
      <c r="B25" s="432" t="s">
        <v>174</v>
      </c>
    </row>
  </sheetData>
  <sheetProtection password="F4FD" sheet="1" objects="1" scenarios="1"/>
  <mergeCells count="14">
    <mergeCell ref="B2:F2"/>
    <mergeCell ref="B18:G18"/>
    <mergeCell ref="B19:G19"/>
    <mergeCell ref="B21:F21"/>
    <mergeCell ref="B6:B7"/>
    <mergeCell ref="C6:C7"/>
    <mergeCell ref="E6:E7"/>
    <mergeCell ref="F6:F7"/>
    <mergeCell ref="G6:G7"/>
    <mergeCell ref="B8:B9"/>
    <mergeCell ref="C8:C9"/>
    <mergeCell ref="E8:E9"/>
    <mergeCell ref="F8:F9"/>
    <mergeCell ref="G8:G9"/>
  </mergeCells>
  <hyperlinks>
    <hyperlink ref="B18" r:id="rId1"/>
    <hyperlink ref="C18" r:id="rId2" display="http://report.nih.gov/FileLink.aspx?rid=824"/>
    <hyperlink ref="D18" r:id="rId3" display="http://report.nih.gov/FileLink.aspx?rid=824"/>
    <hyperlink ref="E18" r:id="rId4" display="http://report.nih.gov/FileLink.aspx?rid=824"/>
    <hyperlink ref="F18" r:id="rId5" display="http://report.nih.gov/FileLink.aspx?rid=824"/>
    <hyperlink ref="G18" r:id="rId6" display="http://report.nih.gov/FileLink.aspx?rid=824"/>
    <hyperlink ref="B19" r:id="rId7"/>
    <hyperlink ref="C19" r:id="rId8" display="http://grants.nih.gov/grants/guide/notice-files/NOT-OD-12-035.html"/>
    <hyperlink ref="D19" r:id="rId9" display="http://grants.nih.gov/grants/guide/notice-files/NOT-OD-12-035.html"/>
    <hyperlink ref="E19" r:id="rId10" display="http://grants.nih.gov/grants/guide/notice-files/NOT-OD-12-035.html"/>
    <hyperlink ref="F19" r:id="rId11" display="http://grants.nih.gov/grants/guide/notice-files/NOT-OD-12-035.html"/>
    <hyperlink ref="G19" r:id="rId12" display="http://grants.nih.gov/grants/guide/notice-files/NOT-OD-12-035.html"/>
    <hyperlink ref="B23" r:id="rId13"/>
    <hyperlink ref="B22" r:id="rId14"/>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205</vt:i4>
      </vt:variant>
    </vt:vector>
  </HeadingPairs>
  <TitlesOfParts>
    <vt:vector size="214" baseType="lpstr">
      <vt:lpstr>OnScaleCalc</vt:lpstr>
      <vt:lpstr>OffScaleCalc</vt:lpstr>
      <vt:lpstr>AboveScaleCalc</vt:lpstr>
      <vt:lpstr>GenlInstr</vt:lpstr>
      <vt:lpstr>OffScaleInstr</vt:lpstr>
      <vt:lpstr>AboveScaleInstr</vt:lpstr>
      <vt:lpstr>PayScale</vt:lpstr>
      <vt:lpstr>Payscale_Off</vt:lpstr>
      <vt:lpstr>NIH Salary CAP Guidance</vt:lpstr>
      <vt:lpstr>_HSR4</vt:lpstr>
      <vt:lpstr>_HSR5</vt:lpstr>
      <vt:lpstr>_HSR6</vt:lpstr>
      <vt:lpstr>_HSR7</vt:lpstr>
      <vt:lpstr>_HST1</vt:lpstr>
      <vt:lpstr>_HST2</vt:lpstr>
      <vt:lpstr>_HST3</vt:lpstr>
      <vt:lpstr>_HST4</vt:lpstr>
      <vt:lpstr>_HST5</vt:lpstr>
      <vt:lpstr>_HST6</vt:lpstr>
      <vt:lpstr>_HST7</vt:lpstr>
      <vt:lpstr>Above_Scale_Minimum</vt:lpstr>
      <vt:lpstr>AboveScaleCalc!Annual_Salary</vt:lpstr>
      <vt:lpstr>OffScaleCalc!Annual_Salary</vt:lpstr>
      <vt:lpstr>Annual_Salary</vt:lpstr>
      <vt:lpstr>Annual_Salary_Off</vt:lpstr>
      <vt:lpstr>AboveScaleCalc!Assistant</vt:lpstr>
      <vt:lpstr>Assistant</vt:lpstr>
      <vt:lpstr>Assistant_Off</vt:lpstr>
      <vt:lpstr>AboveScaleCalc!Assoc_Base</vt:lpstr>
      <vt:lpstr>Assoc_Base</vt:lpstr>
      <vt:lpstr>Assoc_base_Off</vt:lpstr>
      <vt:lpstr>Assoc_curr_scale</vt:lpstr>
      <vt:lpstr>Assoc_curr_scale_Off</vt:lpstr>
      <vt:lpstr>Assoc_curr_step</vt:lpstr>
      <vt:lpstr>Assoc_curr_step_Off</vt:lpstr>
      <vt:lpstr>Assoc_Prof</vt:lpstr>
      <vt:lpstr>Assoc_Prof_Off</vt:lpstr>
      <vt:lpstr>Assoc_Tot_HSR</vt:lpstr>
      <vt:lpstr>Assoc_Tot_HSR_Off</vt:lpstr>
      <vt:lpstr>Assoc_Tot_HST</vt:lpstr>
      <vt:lpstr>Assoc_Tot_HST_Off</vt:lpstr>
      <vt:lpstr>AboveScaleCalc!Associate</vt:lpstr>
      <vt:lpstr>Associate</vt:lpstr>
      <vt:lpstr>Associate_Off</vt:lpstr>
      <vt:lpstr>AssocSteps</vt:lpstr>
      <vt:lpstr>AssocSteps_Off</vt:lpstr>
      <vt:lpstr>AboveScaleCalc!Asst_Base</vt:lpstr>
      <vt:lpstr>Asst_Base</vt:lpstr>
      <vt:lpstr>Asst_base_Off</vt:lpstr>
      <vt:lpstr>Asst_curr_scale</vt:lpstr>
      <vt:lpstr>Asst_curr_scale_Off</vt:lpstr>
      <vt:lpstr>Asst_curr_step</vt:lpstr>
      <vt:lpstr>Asst_curr_step_Off</vt:lpstr>
      <vt:lpstr>Asst_Prof</vt:lpstr>
      <vt:lpstr>Asst_Prof_Off</vt:lpstr>
      <vt:lpstr>Asst_Tot_HSR</vt:lpstr>
      <vt:lpstr>Asst_Tot_HSR_Off</vt:lpstr>
      <vt:lpstr>Asst_Tot_HST</vt:lpstr>
      <vt:lpstr>Asst_Tot_HST_Off</vt:lpstr>
      <vt:lpstr>AsstSteps</vt:lpstr>
      <vt:lpstr>AsstSteps_Off</vt:lpstr>
      <vt:lpstr>AboveScaleCalc!f</vt:lpstr>
      <vt:lpstr>OffScaleCalc!f</vt:lpstr>
      <vt:lpstr>f</vt:lpstr>
      <vt:lpstr>AboveScaleCalc!Fed_Limit</vt:lpstr>
      <vt:lpstr>OffScaleCalc!Fed_Limit</vt:lpstr>
      <vt:lpstr>Fed_Limit</vt:lpstr>
      <vt:lpstr>AboveScaleCalc!Five</vt:lpstr>
      <vt:lpstr>OffScaleCalc!Five</vt:lpstr>
      <vt:lpstr>Five</vt:lpstr>
      <vt:lpstr>AboveScaleCalc!Four</vt:lpstr>
      <vt:lpstr>OffScaleCalc!Four</vt:lpstr>
      <vt:lpstr>Four</vt:lpstr>
      <vt:lpstr>FY2003_NIH_Salary_Cap_1_1_04_Forward</vt:lpstr>
      <vt:lpstr>HSR_I4</vt:lpstr>
      <vt:lpstr>HSR_I4_Off</vt:lpstr>
      <vt:lpstr>HSR_I5</vt:lpstr>
      <vt:lpstr>HSR_I5_Off</vt:lpstr>
      <vt:lpstr>HSR_I6</vt:lpstr>
      <vt:lpstr>HSR_I6_Off</vt:lpstr>
      <vt:lpstr>HSR_I7</vt:lpstr>
      <vt:lpstr>HSR_I7_Off</vt:lpstr>
      <vt:lpstr>HSR4_AP</vt:lpstr>
      <vt:lpstr>HSR4_AP_Off</vt:lpstr>
      <vt:lpstr>HSR4_Off</vt:lpstr>
      <vt:lpstr>HSR4_P</vt:lpstr>
      <vt:lpstr>HSR4_P_Off</vt:lpstr>
      <vt:lpstr>HSR5_AP</vt:lpstr>
      <vt:lpstr>HSR5_AP_Off</vt:lpstr>
      <vt:lpstr>HSR5_Off</vt:lpstr>
      <vt:lpstr>HSR5_P</vt:lpstr>
      <vt:lpstr>HSR5_P_Off</vt:lpstr>
      <vt:lpstr>HSR6_AP</vt:lpstr>
      <vt:lpstr>HSR6_AP_Off</vt:lpstr>
      <vt:lpstr>HSR6_Off</vt:lpstr>
      <vt:lpstr>HSR6_P</vt:lpstr>
      <vt:lpstr>HSR6_P_Off</vt:lpstr>
      <vt:lpstr>HSR7_AP</vt:lpstr>
      <vt:lpstr>HSR7_AP_Off</vt:lpstr>
      <vt:lpstr>HSR7_Off</vt:lpstr>
      <vt:lpstr>HSR7_P</vt:lpstr>
      <vt:lpstr>HSR7_P_Off</vt:lpstr>
      <vt:lpstr>HST_I1</vt:lpstr>
      <vt:lpstr>HST_I1_Off</vt:lpstr>
      <vt:lpstr>HST_I2</vt:lpstr>
      <vt:lpstr>HST_I2_Off</vt:lpstr>
      <vt:lpstr>HST_I3</vt:lpstr>
      <vt:lpstr>HST_I3_off</vt:lpstr>
      <vt:lpstr>HST_I4</vt:lpstr>
      <vt:lpstr>HST_I4_Off</vt:lpstr>
      <vt:lpstr>HST_I5</vt:lpstr>
      <vt:lpstr>HST_I5_Off</vt:lpstr>
      <vt:lpstr>HST_I6</vt:lpstr>
      <vt:lpstr>HST_I6_Off</vt:lpstr>
      <vt:lpstr>HST_I7</vt:lpstr>
      <vt:lpstr>HST_I7_Off</vt:lpstr>
      <vt:lpstr>HST1_AP</vt:lpstr>
      <vt:lpstr>HST1_AP_Off</vt:lpstr>
      <vt:lpstr>HST1_Off</vt:lpstr>
      <vt:lpstr>HST1_P</vt:lpstr>
      <vt:lpstr>HST1_P_Off</vt:lpstr>
      <vt:lpstr>HST2_AP</vt:lpstr>
      <vt:lpstr>HST2_AP_Off</vt:lpstr>
      <vt:lpstr>HST2_Off</vt:lpstr>
      <vt:lpstr>HST2_P</vt:lpstr>
      <vt:lpstr>HST2_P_Off</vt:lpstr>
      <vt:lpstr>HST3_AP</vt:lpstr>
      <vt:lpstr>HST3_AP_Off</vt:lpstr>
      <vt:lpstr>HST3_Off</vt:lpstr>
      <vt:lpstr>HST3_P</vt:lpstr>
      <vt:lpstr>HST3_P_Off</vt:lpstr>
      <vt:lpstr>HST4_AP</vt:lpstr>
      <vt:lpstr>HST4_AP_Off</vt:lpstr>
      <vt:lpstr>HST4_Off</vt:lpstr>
      <vt:lpstr>HST4_P</vt:lpstr>
      <vt:lpstr>HST4_P_Off</vt:lpstr>
      <vt:lpstr>HST5_AP</vt:lpstr>
      <vt:lpstr>HST5_AP_Off</vt:lpstr>
      <vt:lpstr>HST5_Off</vt:lpstr>
      <vt:lpstr>HST5_P</vt:lpstr>
      <vt:lpstr>HST5_P_Off</vt:lpstr>
      <vt:lpstr>HST6_AP</vt:lpstr>
      <vt:lpstr>HST6_AP_Off</vt:lpstr>
      <vt:lpstr>HST6_Off</vt:lpstr>
      <vt:lpstr>HST6_P</vt:lpstr>
      <vt:lpstr>HST6_P_Off</vt:lpstr>
      <vt:lpstr>HST7_AP</vt:lpstr>
      <vt:lpstr>HST7_AP_Off</vt:lpstr>
      <vt:lpstr>HST7_Off</vt:lpstr>
      <vt:lpstr>HST7_P</vt:lpstr>
      <vt:lpstr>HST7_P_Off</vt:lpstr>
      <vt:lpstr>AboveScaleCalc!Instr_base</vt:lpstr>
      <vt:lpstr>Instr_base</vt:lpstr>
      <vt:lpstr>Instr_base_Off</vt:lpstr>
      <vt:lpstr>Instr_curr_Scale</vt:lpstr>
      <vt:lpstr>Instr_curr_Scale_off</vt:lpstr>
      <vt:lpstr>Instr_curr_Step</vt:lpstr>
      <vt:lpstr>Instr_curr_Step_off</vt:lpstr>
      <vt:lpstr>Instr_Range</vt:lpstr>
      <vt:lpstr>Instr_Range_off</vt:lpstr>
      <vt:lpstr>Instr_Tot_HSR</vt:lpstr>
      <vt:lpstr>Instr_Tot_HSR_off</vt:lpstr>
      <vt:lpstr>Instr_Tot_HST</vt:lpstr>
      <vt:lpstr>Instr_Tot_HST_off</vt:lpstr>
      <vt:lpstr>InstrSteps</vt:lpstr>
      <vt:lpstr>InstrSteps_off</vt:lpstr>
      <vt:lpstr>AboveScaleCalc!Instructor</vt:lpstr>
      <vt:lpstr>Instructor</vt:lpstr>
      <vt:lpstr>Instructor_Off</vt:lpstr>
      <vt:lpstr>AboveScaleCalc!New_Fed_Limit</vt:lpstr>
      <vt:lpstr>OffScaleCalc!New_Fed_Limit</vt:lpstr>
      <vt:lpstr>New_Fed_Limit</vt:lpstr>
      <vt:lpstr>AboveScaleCalc!Old_Fed_Limit</vt:lpstr>
      <vt:lpstr>OffScaleCalc!Old_Fed_Limit</vt:lpstr>
      <vt:lpstr>Old_Fed_Limit</vt:lpstr>
      <vt:lpstr>AboveScaleCalc!OverCAP</vt:lpstr>
      <vt:lpstr>OffScaleCalc!OverCAP</vt:lpstr>
      <vt:lpstr>OverCAP</vt:lpstr>
      <vt:lpstr>AboveScaleCalc!Print_Area</vt:lpstr>
      <vt:lpstr>OffScaleCalc!Print_Area</vt:lpstr>
      <vt:lpstr>OnScaleCalc!Print_Area</vt:lpstr>
      <vt:lpstr>Payscale_Off!Print_Area</vt:lpstr>
      <vt:lpstr>Payscale_Off!Print_Titles</vt:lpstr>
      <vt:lpstr>Prof</vt:lpstr>
      <vt:lpstr>Prof_Above</vt:lpstr>
      <vt:lpstr>Prof_Base</vt:lpstr>
      <vt:lpstr>Prof_Base_Above</vt:lpstr>
      <vt:lpstr>Prof_base_Off</vt:lpstr>
      <vt:lpstr>Prof_curr_scale</vt:lpstr>
      <vt:lpstr>Prof_curr_scale_Off</vt:lpstr>
      <vt:lpstr>Prof_curr_step</vt:lpstr>
      <vt:lpstr>Prof_curr_step_Off</vt:lpstr>
      <vt:lpstr>Prof_Off</vt:lpstr>
      <vt:lpstr>Prof_Tot_HSR</vt:lpstr>
      <vt:lpstr>Prof_Tot_HSR_Off</vt:lpstr>
      <vt:lpstr>Prof_Tot_HST</vt:lpstr>
      <vt:lpstr>Prof_Tot_HST_Off</vt:lpstr>
      <vt:lpstr>professor</vt:lpstr>
      <vt:lpstr>Professor_Off</vt:lpstr>
      <vt:lpstr>ProfSteps</vt:lpstr>
      <vt:lpstr>ProfSteps_Off</vt:lpstr>
      <vt:lpstr>REG</vt:lpstr>
      <vt:lpstr>AboveScaleCalc!SalaryLimits</vt:lpstr>
      <vt:lpstr>OffScaleCalc!SalaryLimits</vt:lpstr>
      <vt:lpstr>SalaryLimits</vt:lpstr>
      <vt:lpstr>Scale</vt:lpstr>
      <vt:lpstr>Scale_Above</vt:lpstr>
      <vt:lpstr>Scale_Off</vt:lpstr>
      <vt:lpstr>AboveScaleCalc!Three</vt:lpstr>
      <vt:lpstr>OffScaleCalc!Three</vt:lpstr>
      <vt:lpstr>Three</vt:lpstr>
      <vt:lpstr>AboveScaleCalc!Two</vt:lpstr>
      <vt:lpstr>OffScaleCalc!Two</vt:lpstr>
      <vt:lpstr>Two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Mead, Sally</dc:creator>
  <cp:lastModifiedBy>Babcock, Phillip</cp:lastModifiedBy>
  <cp:lastPrinted>2015-11-03T22:48:06Z</cp:lastPrinted>
  <dcterms:created xsi:type="dcterms:W3CDTF">1997-07-17T19:35:58Z</dcterms:created>
  <dcterms:modified xsi:type="dcterms:W3CDTF">2016-06-03T18:09:03Z</dcterms:modified>
</cp:coreProperties>
</file>